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SEBA DOC\ESCRITURA\2024\ARTICULO 2024\Soft Matter\Entrega Soft matter final\Data\"/>
    </mc:Choice>
  </mc:AlternateContent>
  <bookViews>
    <workbookView xWindow="-120" yWindow="-120" windowWidth="20730" windowHeight="11040" activeTab="5"/>
  </bookViews>
  <sheets>
    <sheet name="0%" sheetId="1" r:id="rId1"/>
    <sheet name="20%" sheetId="2" r:id="rId2"/>
    <sheet name="40%" sheetId="3" r:id="rId3"/>
    <sheet name="50%" sheetId="4" r:id="rId4"/>
    <sheet name="60%" sheetId="5" r:id="rId5"/>
    <sheet name="70%" sheetId="6" r:id="rId6"/>
    <sheet name="To plot" sheetId="7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6" l="1"/>
  <c r="V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" i="6"/>
  <c r="V3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" i="5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" i="4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2" i="3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2" i="2"/>
  <c r="V3" i="1"/>
  <c r="V4" i="1"/>
  <c r="V5" i="1"/>
  <c r="V6" i="1"/>
  <c r="V7" i="1"/>
  <c r="V8" i="1"/>
  <c r="V9" i="1"/>
  <c r="V10" i="1"/>
  <c r="V11" i="1"/>
  <c r="V12" i="1"/>
  <c r="V13" i="1"/>
  <c r="V2" i="1"/>
  <c r="Q2" i="1"/>
  <c r="R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" i="6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" i="5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" i="4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2" i="3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2" i="2"/>
  <c r="U3" i="1"/>
  <c r="U2" i="1"/>
  <c r="R3" i="1"/>
  <c r="R4" i="1"/>
  <c r="R5" i="1"/>
  <c r="R6" i="1"/>
  <c r="R7" i="1"/>
  <c r="R8" i="1"/>
  <c r="R9" i="1"/>
  <c r="R10" i="1"/>
  <c r="R11" i="1"/>
  <c r="R12" i="1"/>
  <c r="R13" i="1"/>
  <c r="R2" i="1"/>
  <c r="M2" i="1"/>
  <c r="P3" i="1" l="1"/>
  <c r="P4" i="1"/>
  <c r="P5" i="1"/>
  <c r="P6" i="1"/>
  <c r="P7" i="1"/>
  <c r="P8" i="1"/>
  <c r="P9" i="1"/>
  <c r="P10" i="1"/>
  <c r="P11" i="1"/>
  <c r="P12" i="1"/>
  <c r="P13" i="1"/>
  <c r="O3" i="1"/>
  <c r="O4" i="1"/>
  <c r="O5" i="1"/>
  <c r="O6" i="1"/>
  <c r="O7" i="1"/>
  <c r="O8" i="1"/>
  <c r="O9" i="1"/>
  <c r="O10" i="1"/>
  <c r="O11" i="1"/>
  <c r="O12" i="1"/>
  <c r="O13" i="1"/>
  <c r="M3" i="1"/>
  <c r="M4" i="1"/>
  <c r="M5" i="1"/>
  <c r="M6" i="1"/>
  <c r="M7" i="1"/>
  <c r="M8" i="1"/>
  <c r="M9" i="1"/>
  <c r="M10" i="1"/>
  <c r="M11" i="1"/>
  <c r="M12" i="1"/>
  <c r="M13" i="1"/>
  <c r="K3" i="1"/>
  <c r="K4" i="1"/>
  <c r="K5" i="1"/>
  <c r="K6" i="1"/>
  <c r="K7" i="1"/>
  <c r="K8" i="1"/>
  <c r="K9" i="1"/>
  <c r="K10" i="1"/>
  <c r="K11" i="1"/>
  <c r="K12" i="1"/>
  <c r="K13" i="1"/>
  <c r="O2" i="1"/>
  <c r="N2" i="1"/>
  <c r="L2" i="1"/>
  <c r="K2" i="1"/>
  <c r="P2" i="1" s="1"/>
  <c r="J2" i="1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O2" i="2"/>
  <c r="N2" i="2"/>
  <c r="M2" i="2"/>
  <c r="L2" i="2"/>
  <c r="K2" i="2"/>
  <c r="P2" i="2" s="1"/>
  <c r="J2" i="2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O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N2" i="3"/>
  <c r="M2" i="3"/>
  <c r="L2" i="3"/>
  <c r="K2" i="3"/>
  <c r="P2" i="3" s="1"/>
  <c r="J2" i="3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P2" i="4"/>
  <c r="O2" i="4"/>
  <c r="M2" i="4"/>
  <c r="K2" i="4"/>
  <c r="L2" i="4"/>
  <c r="N2" i="4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P2" i="5"/>
  <c r="O2" i="5"/>
  <c r="M2" i="5"/>
  <c r="K2" i="5"/>
  <c r="Q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" i="6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" i="6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" i="6"/>
  <c r="J2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N19" i="6"/>
  <c r="L19" i="6"/>
  <c r="J19" i="6"/>
  <c r="N18" i="6"/>
  <c r="L18" i="6"/>
  <c r="J18" i="6"/>
  <c r="N17" i="6"/>
  <c r="L17" i="6"/>
  <c r="J17" i="6"/>
  <c r="N16" i="6"/>
  <c r="L16" i="6"/>
  <c r="J16" i="6"/>
  <c r="N15" i="6"/>
  <c r="L15" i="6"/>
  <c r="J15" i="6"/>
  <c r="N14" i="6"/>
  <c r="L14" i="6"/>
  <c r="J14" i="6"/>
  <c r="N13" i="6"/>
  <c r="L13" i="6"/>
  <c r="J13" i="6"/>
  <c r="N12" i="6"/>
  <c r="L12" i="6"/>
  <c r="J12" i="6"/>
  <c r="N11" i="6"/>
  <c r="L11" i="6"/>
  <c r="J11" i="6"/>
  <c r="N10" i="6"/>
  <c r="L10" i="6"/>
  <c r="J10" i="6"/>
  <c r="N9" i="6"/>
  <c r="L9" i="6"/>
  <c r="J9" i="6"/>
  <c r="N8" i="6"/>
  <c r="L8" i="6"/>
  <c r="J8" i="6"/>
  <c r="N7" i="6"/>
  <c r="L7" i="6"/>
  <c r="J7" i="6"/>
  <c r="N6" i="6"/>
  <c r="L6" i="6"/>
  <c r="J6" i="6"/>
  <c r="N5" i="6"/>
  <c r="L5" i="6"/>
  <c r="J5" i="6"/>
  <c r="N4" i="6"/>
  <c r="L4" i="6"/>
  <c r="J4" i="6"/>
  <c r="N3" i="6"/>
  <c r="L3" i="6"/>
  <c r="J3" i="6"/>
  <c r="N2" i="6"/>
  <c r="U3" i="6" s="1"/>
  <c r="L2" i="6"/>
  <c r="T20" i="5"/>
  <c r="T19" i="5"/>
  <c r="T18" i="5"/>
  <c r="T17" i="5"/>
  <c r="T16" i="5"/>
  <c r="T15" i="5"/>
  <c r="T14" i="5"/>
  <c r="T13" i="5"/>
  <c r="T12" i="5"/>
  <c r="T11" i="5"/>
  <c r="T10" i="5"/>
  <c r="T9" i="5"/>
  <c r="T5" i="5"/>
  <c r="T4" i="5"/>
  <c r="T3" i="5"/>
  <c r="N20" i="5"/>
  <c r="L20" i="5"/>
  <c r="J20" i="5"/>
  <c r="N19" i="5"/>
  <c r="L19" i="5"/>
  <c r="J19" i="5"/>
  <c r="N18" i="5"/>
  <c r="L18" i="5"/>
  <c r="J18" i="5"/>
  <c r="N17" i="5"/>
  <c r="L17" i="5"/>
  <c r="J17" i="5"/>
  <c r="N16" i="5"/>
  <c r="L16" i="5"/>
  <c r="J16" i="5"/>
  <c r="N15" i="5"/>
  <c r="L15" i="5"/>
  <c r="J15" i="5"/>
  <c r="N14" i="5"/>
  <c r="L14" i="5"/>
  <c r="J14" i="5"/>
  <c r="N13" i="5"/>
  <c r="L13" i="5"/>
  <c r="J13" i="5"/>
  <c r="N12" i="5"/>
  <c r="L12" i="5"/>
  <c r="J12" i="5"/>
  <c r="N11" i="5"/>
  <c r="L11" i="5"/>
  <c r="J11" i="5"/>
  <c r="N10" i="5"/>
  <c r="L10" i="5"/>
  <c r="J10" i="5"/>
  <c r="N9" i="5"/>
  <c r="L9" i="5"/>
  <c r="J9" i="5"/>
  <c r="N8" i="5"/>
  <c r="L8" i="5"/>
  <c r="J8" i="5"/>
  <c r="N7" i="5"/>
  <c r="L7" i="5"/>
  <c r="J7" i="5"/>
  <c r="N6" i="5"/>
  <c r="L6" i="5"/>
  <c r="J6" i="5"/>
  <c r="N5" i="5"/>
  <c r="L5" i="5"/>
  <c r="J5" i="5"/>
  <c r="N4" i="5"/>
  <c r="L4" i="5"/>
  <c r="J4" i="5"/>
  <c r="N3" i="5"/>
  <c r="L3" i="5"/>
  <c r="J3" i="5"/>
  <c r="N2" i="5"/>
  <c r="U3" i="5" s="1"/>
  <c r="L2" i="5"/>
  <c r="J2" i="5"/>
  <c r="T20" i="4"/>
  <c r="T19" i="4"/>
  <c r="T18" i="4"/>
  <c r="T17" i="4"/>
  <c r="T16" i="4"/>
  <c r="T15" i="4"/>
  <c r="T14" i="4"/>
  <c r="T13" i="4"/>
  <c r="T12" i="4"/>
  <c r="T11" i="4"/>
  <c r="T10" i="4"/>
  <c r="T9" i="4"/>
  <c r="T5" i="4"/>
  <c r="T4" i="4"/>
  <c r="T3" i="4"/>
  <c r="N20" i="4"/>
  <c r="L20" i="4"/>
  <c r="J20" i="4"/>
  <c r="N19" i="4"/>
  <c r="L19" i="4"/>
  <c r="J19" i="4"/>
  <c r="N18" i="4"/>
  <c r="L18" i="4"/>
  <c r="J18" i="4"/>
  <c r="N17" i="4"/>
  <c r="L17" i="4"/>
  <c r="J17" i="4"/>
  <c r="N16" i="4"/>
  <c r="L16" i="4"/>
  <c r="J16" i="4"/>
  <c r="N15" i="4"/>
  <c r="L15" i="4"/>
  <c r="J15" i="4"/>
  <c r="N14" i="4"/>
  <c r="L14" i="4"/>
  <c r="J14" i="4"/>
  <c r="N13" i="4"/>
  <c r="L13" i="4"/>
  <c r="J13" i="4"/>
  <c r="N12" i="4"/>
  <c r="L12" i="4"/>
  <c r="J12" i="4"/>
  <c r="N11" i="4"/>
  <c r="L11" i="4"/>
  <c r="J11" i="4"/>
  <c r="N10" i="4"/>
  <c r="L10" i="4"/>
  <c r="J10" i="4"/>
  <c r="N9" i="4"/>
  <c r="L9" i="4"/>
  <c r="J9" i="4"/>
  <c r="N8" i="4"/>
  <c r="L8" i="4"/>
  <c r="J8" i="4"/>
  <c r="N7" i="4"/>
  <c r="L7" i="4"/>
  <c r="J7" i="4"/>
  <c r="N6" i="4"/>
  <c r="L6" i="4"/>
  <c r="J6" i="4"/>
  <c r="N5" i="4"/>
  <c r="L5" i="4"/>
  <c r="J5" i="4"/>
  <c r="N4" i="4"/>
  <c r="L4" i="4"/>
  <c r="J4" i="4"/>
  <c r="N3" i="4"/>
  <c r="L3" i="4"/>
  <c r="J3" i="4"/>
  <c r="U5" i="4"/>
  <c r="J2" i="4"/>
  <c r="T16" i="3"/>
  <c r="T15" i="3"/>
  <c r="T14" i="3"/>
  <c r="T13" i="3"/>
  <c r="T12" i="3"/>
  <c r="T11" i="3"/>
  <c r="T10" i="3"/>
  <c r="T9" i="3"/>
  <c r="T8" i="3"/>
  <c r="N16" i="3"/>
  <c r="L16" i="3"/>
  <c r="J16" i="3"/>
  <c r="N15" i="3"/>
  <c r="L15" i="3"/>
  <c r="J15" i="3"/>
  <c r="N14" i="3"/>
  <c r="L14" i="3"/>
  <c r="J14" i="3"/>
  <c r="N13" i="3"/>
  <c r="L13" i="3"/>
  <c r="J13" i="3"/>
  <c r="N12" i="3"/>
  <c r="L12" i="3"/>
  <c r="J12" i="3"/>
  <c r="N11" i="3"/>
  <c r="L11" i="3"/>
  <c r="J11" i="3"/>
  <c r="N10" i="3"/>
  <c r="L10" i="3"/>
  <c r="J10" i="3"/>
  <c r="N9" i="3"/>
  <c r="L9" i="3"/>
  <c r="J9" i="3"/>
  <c r="N8" i="3"/>
  <c r="L8" i="3"/>
  <c r="J8" i="3"/>
  <c r="N7" i="3"/>
  <c r="L7" i="3"/>
  <c r="J7" i="3"/>
  <c r="N6" i="3"/>
  <c r="L6" i="3"/>
  <c r="J6" i="3"/>
  <c r="N5" i="3"/>
  <c r="L5" i="3"/>
  <c r="J5" i="3"/>
  <c r="N4" i="3"/>
  <c r="L4" i="3"/>
  <c r="J4" i="3"/>
  <c r="N3" i="3"/>
  <c r="L3" i="3"/>
  <c r="J3" i="3"/>
  <c r="U3" i="3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U7" i="2"/>
  <c r="J17" i="2"/>
  <c r="L17" i="2"/>
  <c r="L16" i="2"/>
  <c r="J16" i="2"/>
  <c r="L15" i="2"/>
  <c r="J15" i="2"/>
  <c r="L14" i="2"/>
  <c r="J14" i="2"/>
  <c r="L13" i="2"/>
  <c r="J13" i="2"/>
  <c r="L12" i="2"/>
  <c r="J12" i="2"/>
  <c r="L11" i="2"/>
  <c r="J11" i="2"/>
  <c r="L10" i="2"/>
  <c r="J10" i="2"/>
  <c r="L9" i="2"/>
  <c r="J9" i="2"/>
  <c r="L8" i="2"/>
  <c r="J8" i="2"/>
  <c r="L7" i="2"/>
  <c r="J7" i="2"/>
  <c r="L6" i="2"/>
  <c r="J6" i="2"/>
  <c r="L5" i="2"/>
  <c r="J5" i="2"/>
  <c r="L4" i="2"/>
  <c r="J4" i="2"/>
  <c r="L3" i="2"/>
  <c r="J3" i="2"/>
  <c r="J13" i="1"/>
  <c r="L13" i="1"/>
  <c r="N13" i="1"/>
  <c r="N12" i="1"/>
  <c r="L12" i="1"/>
  <c r="J12" i="1"/>
  <c r="N11" i="1"/>
  <c r="L11" i="1"/>
  <c r="J11" i="1"/>
  <c r="N10" i="1"/>
  <c r="L10" i="1"/>
  <c r="J10" i="1"/>
  <c r="N9" i="1"/>
  <c r="L9" i="1"/>
  <c r="J9" i="1"/>
  <c r="N8" i="1"/>
  <c r="L8" i="1"/>
  <c r="J8" i="1"/>
  <c r="N7" i="1"/>
  <c r="L7" i="1"/>
  <c r="J7" i="1"/>
  <c r="N6" i="1"/>
  <c r="L6" i="1"/>
  <c r="J6" i="1"/>
  <c r="N5" i="1"/>
  <c r="L5" i="1"/>
  <c r="J5" i="1"/>
  <c r="N4" i="1"/>
  <c r="L4" i="1"/>
  <c r="J4" i="1"/>
  <c r="N3" i="1"/>
  <c r="L3" i="1"/>
  <c r="J3" i="1"/>
  <c r="U4" i="2" l="1"/>
  <c r="U12" i="2"/>
  <c r="U14" i="2"/>
  <c r="U6" i="2"/>
  <c r="U13" i="2"/>
  <c r="U5" i="2"/>
  <c r="U11" i="2"/>
  <c r="U3" i="2"/>
  <c r="U2" i="2"/>
  <c r="U10" i="2"/>
  <c r="U17" i="2"/>
  <c r="U9" i="2"/>
  <c r="U16" i="2"/>
  <c r="U8" i="2"/>
  <c r="U15" i="2"/>
  <c r="U17" i="4"/>
  <c r="U19" i="4"/>
  <c r="Q14" i="5"/>
  <c r="Q11" i="5"/>
  <c r="Q8" i="5"/>
  <c r="Q4" i="5"/>
  <c r="U18" i="5"/>
  <c r="Q7" i="5"/>
  <c r="U17" i="5"/>
  <c r="U10" i="5"/>
  <c r="Q5" i="5"/>
  <c r="U9" i="5"/>
  <c r="U18" i="6"/>
  <c r="U16" i="6"/>
  <c r="U10" i="6"/>
  <c r="U8" i="6"/>
  <c r="U17" i="6"/>
  <c r="U9" i="6"/>
  <c r="U15" i="6"/>
  <c r="U7" i="6"/>
  <c r="Q9" i="6"/>
  <c r="U14" i="6"/>
  <c r="U6" i="6"/>
  <c r="U13" i="6"/>
  <c r="U5" i="6"/>
  <c r="U2" i="6"/>
  <c r="U12" i="6"/>
  <c r="U4" i="6"/>
  <c r="U19" i="6"/>
  <c r="U11" i="6"/>
  <c r="Q12" i="6"/>
  <c r="Q10" i="6"/>
  <c r="Q6" i="6"/>
  <c r="U16" i="5"/>
  <c r="U8" i="5"/>
  <c r="Q20" i="5"/>
  <c r="Q3" i="5"/>
  <c r="U15" i="5"/>
  <c r="U7" i="5"/>
  <c r="Q9" i="5"/>
  <c r="U14" i="5"/>
  <c r="U6" i="5"/>
  <c r="Q19" i="5"/>
  <c r="U2" i="5"/>
  <c r="U13" i="5"/>
  <c r="U5" i="5"/>
  <c r="U20" i="5"/>
  <c r="U12" i="5"/>
  <c r="U4" i="5"/>
  <c r="U19" i="5"/>
  <c r="U11" i="5"/>
  <c r="Q9" i="4"/>
  <c r="U16" i="4"/>
  <c r="U12" i="4"/>
  <c r="U11" i="4"/>
  <c r="Q2" i="4"/>
  <c r="Q16" i="4"/>
  <c r="U9" i="4"/>
  <c r="U8" i="4"/>
  <c r="U20" i="4"/>
  <c r="U4" i="4"/>
  <c r="Q19" i="4"/>
  <c r="Q15" i="4"/>
  <c r="Q12" i="4"/>
  <c r="U18" i="4"/>
  <c r="U10" i="4"/>
  <c r="Q4" i="4"/>
  <c r="Q7" i="4"/>
  <c r="U15" i="4"/>
  <c r="U7" i="4"/>
  <c r="Q10" i="4"/>
  <c r="Q6" i="4"/>
  <c r="U2" i="4"/>
  <c r="U14" i="4"/>
  <c r="U6" i="4"/>
  <c r="U3" i="4"/>
  <c r="U13" i="4"/>
  <c r="U16" i="3"/>
  <c r="U10" i="3"/>
  <c r="U8" i="3"/>
  <c r="U2" i="3"/>
  <c r="U9" i="3"/>
  <c r="U15" i="3"/>
  <c r="U7" i="3"/>
  <c r="U14" i="3"/>
  <c r="U6" i="3"/>
  <c r="U13" i="3"/>
  <c r="U5" i="3"/>
  <c r="U12" i="3"/>
  <c r="U4" i="3"/>
  <c r="U11" i="3"/>
  <c r="Q9" i="3"/>
  <c r="Q13" i="3"/>
  <c r="Q5" i="3"/>
  <c r="Q16" i="2"/>
  <c r="Q15" i="2"/>
  <c r="Q3" i="2"/>
  <c r="Q2" i="2"/>
  <c r="Q9" i="1"/>
  <c r="Q13" i="1"/>
  <c r="Q12" i="1"/>
  <c r="U10" i="1"/>
  <c r="U8" i="1"/>
  <c r="U7" i="1"/>
  <c r="U9" i="1"/>
  <c r="U6" i="1"/>
  <c r="U13" i="1"/>
  <c r="U5" i="1"/>
  <c r="U12" i="1"/>
  <c r="U4" i="1"/>
  <c r="U11" i="1"/>
  <c r="Q5" i="1" l="1"/>
  <c r="Q11" i="1"/>
  <c r="Q8" i="1"/>
  <c r="Q7" i="1"/>
  <c r="Q8" i="2"/>
  <c r="Q4" i="2"/>
  <c r="Q10" i="2"/>
  <c r="Q12" i="2"/>
  <c r="Q9" i="2"/>
  <c r="Q7" i="2"/>
  <c r="Q5" i="2"/>
  <c r="Q11" i="2"/>
  <c r="Q6" i="2"/>
  <c r="Q11" i="3"/>
  <c r="Q3" i="3"/>
  <c r="Q12" i="3"/>
  <c r="Q3" i="4"/>
  <c r="Q20" i="4"/>
  <c r="Q11" i="4"/>
  <c r="Q17" i="4"/>
  <c r="Q5" i="4"/>
  <c r="Q8" i="4"/>
  <c r="Q13" i="4"/>
  <c r="Q14" i="4"/>
  <c r="Q16" i="5"/>
  <c r="Q15" i="5"/>
  <c r="Q6" i="5"/>
  <c r="Q12" i="5"/>
  <c r="Q17" i="5"/>
  <c r="Q18" i="5"/>
  <c r="Q10" i="5"/>
  <c r="Q2" i="5"/>
  <c r="Q13" i="5"/>
  <c r="Q14" i="6"/>
  <c r="Q5" i="6"/>
  <c r="Q17" i="6"/>
  <c r="Q13" i="6"/>
  <c r="Q18" i="6"/>
  <c r="Q4" i="6"/>
  <c r="Q16" i="6"/>
  <c r="Q11" i="6"/>
  <c r="Q8" i="6"/>
  <c r="Q3" i="6"/>
  <c r="Q19" i="6"/>
  <c r="Q7" i="6"/>
  <c r="Q15" i="6"/>
  <c r="Q18" i="4"/>
  <c r="Q14" i="3"/>
  <c r="Q2" i="3"/>
  <c r="Q6" i="3"/>
  <c r="Q8" i="3"/>
  <c r="Q7" i="3"/>
  <c r="Q15" i="3"/>
  <c r="Q16" i="3"/>
  <c r="Q4" i="3"/>
  <c r="Q10" i="3"/>
  <c r="Q17" i="2"/>
  <c r="Q14" i="2"/>
  <c r="Q13" i="2"/>
  <c r="Q6" i="1"/>
  <c r="Q4" i="1"/>
  <c r="Q3" i="1"/>
  <c r="Q10" i="1"/>
</calcChain>
</file>

<file path=xl/sharedStrings.xml><?xml version="1.0" encoding="utf-8"?>
<sst xmlns="http://schemas.openxmlformats.org/spreadsheetml/2006/main" count="126" uniqueCount="19">
  <si>
    <t>V1_cm3</t>
  </si>
  <si>
    <t>V2_cm3</t>
  </si>
  <si>
    <t>V3_cm3</t>
  </si>
  <si>
    <t>Vest_cm3</t>
  </si>
  <si>
    <t>Vprom_cm3</t>
  </si>
  <si>
    <t>t (h)</t>
  </si>
  <si>
    <t>d1_cm</t>
  </si>
  <si>
    <t>d2_cm</t>
  </si>
  <si>
    <t>d3_cm</t>
  </si>
  <si>
    <t>Err%</t>
  </si>
  <si>
    <t>m(g)</t>
  </si>
  <si>
    <t>t(h)</t>
  </si>
  <si>
    <t>dVprom</t>
  </si>
  <si>
    <t>dV1</t>
  </si>
  <si>
    <t>dV2</t>
  </si>
  <si>
    <t>dV3</t>
  </si>
  <si>
    <t>dVmean</t>
  </si>
  <si>
    <t>Vmean_cm3</t>
  </si>
  <si>
    <t>Er_comparacion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</si>
</sst>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8" xfId="0" applyBorder="1"/>
    <xf numFmtId="0" fontId="1" fillId="0" borderId="9" xfId="0" applyFont="1" applyBorder="1"/>
    <xf numFmtId="0" fontId="1" fillId="0" borderId="10" xfId="0" applyFont="1" applyBorder="1"/>
    <xf numFmtId="0" fontId="0" fillId="0" borderId="10" xfId="0" applyBorder="1"/>
    <xf numFmtId="0" fontId="0" fillId="0" borderId="11" xfId="0" applyBorder="1"/>
    <xf numFmtId="0" fontId="1" fillId="0" borderId="8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0" fillId="0" borderId="4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3" xfId="0" applyFont="1" applyBorder="1"/>
    <xf numFmtId="0" fontId="3" fillId="0" borderId="19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13" xfId="0" applyFont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6" xfId="0" applyFont="1" applyBorder="1"/>
    <xf numFmtId="0" fontId="0" fillId="0" borderId="7" xfId="0" applyBorder="1"/>
    <xf numFmtId="0" fontId="0" fillId="0" borderId="9" xfId="0" applyBorder="1"/>
    <xf numFmtId="0" fontId="3" fillId="0" borderId="31" xfId="0" applyFont="1" applyBorder="1"/>
    <xf numFmtId="0" fontId="3" fillId="0" borderId="32" xfId="0" applyFont="1" applyBorder="1"/>
    <xf numFmtId="0" fontId="1" fillId="0" borderId="5" xfId="0" applyFont="1" applyBorder="1"/>
    <xf numFmtId="0" fontId="0" fillId="0" borderId="0" xfId="0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3" fillId="0" borderId="2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27" xfId="0" applyFont="1" applyBorder="1"/>
    <xf numFmtId="0" fontId="3" fillId="0" borderId="2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29" xfId="0" applyFont="1" applyBorder="1"/>
    <xf numFmtId="0" fontId="3" fillId="0" borderId="30" xfId="0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9" fontId="5" fillId="0" borderId="6" xfId="0" applyNumberFormat="1" applyFont="1" applyBorder="1" applyAlignment="1">
      <alignment horizontal="center"/>
    </xf>
    <xf numFmtId="0" fontId="0" fillId="0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opLeftCell="D1" workbookViewId="0">
      <selection activeCell="V1" sqref="V1:V2"/>
    </sheetView>
  </sheetViews>
  <sheetFormatPr baseColWidth="10" defaultRowHeight="15" x14ac:dyDescent="0.25"/>
  <cols>
    <col min="22" max="22" width="15" bestFit="1" customWidth="1"/>
  </cols>
  <sheetData>
    <row r="1" spans="1:22" ht="15.75" thickBot="1" x14ac:dyDescent="0.3">
      <c r="A1" s="54" t="s">
        <v>6</v>
      </c>
      <c r="B1" s="55"/>
      <c r="C1" s="56"/>
      <c r="D1" s="54" t="s">
        <v>7</v>
      </c>
      <c r="E1" s="55"/>
      <c r="F1" s="56"/>
      <c r="G1" s="54" t="s">
        <v>8</v>
      </c>
      <c r="H1" s="55"/>
      <c r="I1" s="56"/>
      <c r="J1" s="26" t="s">
        <v>0</v>
      </c>
      <c r="K1" s="24" t="s">
        <v>13</v>
      </c>
      <c r="L1" s="36" t="s">
        <v>1</v>
      </c>
      <c r="M1" s="24" t="s">
        <v>14</v>
      </c>
      <c r="N1" s="36" t="s">
        <v>2</v>
      </c>
      <c r="O1" s="25" t="s">
        <v>15</v>
      </c>
      <c r="P1" s="12" t="s">
        <v>16</v>
      </c>
      <c r="Q1" s="24" t="s">
        <v>9</v>
      </c>
      <c r="R1" s="13" t="s">
        <v>17</v>
      </c>
      <c r="S1" s="13" t="s">
        <v>5</v>
      </c>
      <c r="T1" s="15" t="s">
        <v>10</v>
      </c>
      <c r="U1" s="14" t="s">
        <v>3</v>
      </c>
      <c r="V1" s="74" t="s">
        <v>18</v>
      </c>
    </row>
    <row r="2" spans="1:22" x14ac:dyDescent="0.25">
      <c r="A2" s="4">
        <v>0.28000000000000003</v>
      </c>
      <c r="B2" s="1">
        <v>0.28000000000000003</v>
      </c>
      <c r="C2" s="10">
        <v>0.28000000000000003</v>
      </c>
      <c r="D2" s="4">
        <v>0.28000000000000003</v>
      </c>
      <c r="E2" s="1">
        <v>0.28000000000000003</v>
      </c>
      <c r="F2" s="10">
        <v>0.28000000000000003</v>
      </c>
      <c r="G2" s="4">
        <v>0.28000000000000003</v>
      </c>
      <c r="H2" s="1">
        <v>0.28000000000000003</v>
      </c>
      <c r="I2" s="10">
        <v>0.28000000000000003</v>
      </c>
      <c r="J2" s="40">
        <f t="shared" ref="J2" si="0">4/3*PI()*A2*B2*C2/8</f>
        <v>1.149404032193386E-2</v>
      </c>
      <c r="K2" s="41">
        <f>4/3*PI()*1/200*(A2*B2+B2*C2+A2*C2)</f>
        <v>4.9260172808287955E-3</v>
      </c>
      <c r="L2" s="41">
        <f t="shared" ref="L2" si="1">4/3*PI()*D2*E2*F2/8</f>
        <v>1.149404032193386E-2</v>
      </c>
      <c r="M2" s="41">
        <f>4/3*PI()*1/200*(D2*E2+E2*F2+D2*F2)</f>
        <v>4.9260172808287955E-3</v>
      </c>
      <c r="N2" s="44">
        <f t="shared" ref="N2" si="2">4/3*PI()*G2*H2*I2/8</f>
        <v>1.149404032193386E-2</v>
      </c>
      <c r="O2" s="44">
        <f>4/3*PI()*1/200*(G2*H2+H2*I2+G2*I2)</f>
        <v>4.9260172808287955E-3</v>
      </c>
      <c r="P2" s="2">
        <f>MAX(K2,M2,O2)</f>
        <v>4.9260172808287955E-3</v>
      </c>
      <c r="Q2" s="49">
        <f>P2/R2*100</f>
        <v>42.857142857142847</v>
      </c>
      <c r="R2" s="2">
        <f>AVERAGE(J2,L2,N2)</f>
        <v>1.149404032193386E-2</v>
      </c>
      <c r="S2" s="2">
        <v>0</v>
      </c>
      <c r="T2" s="2">
        <v>1.4999999999999999E-2</v>
      </c>
      <c r="U2" s="3">
        <f>(T2-$T$2)/1+$N$2</f>
        <v>1.149404032193386E-2</v>
      </c>
      <c r="V2" s="30">
        <f>ABS(U2-R2)/MAX(R2,U2)*100</f>
        <v>0</v>
      </c>
    </row>
    <row r="3" spans="1:22" x14ac:dyDescent="0.25">
      <c r="A3" s="4">
        <v>0.74</v>
      </c>
      <c r="B3" s="1">
        <v>0.75</v>
      </c>
      <c r="C3" s="10">
        <v>0.75</v>
      </c>
      <c r="D3" s="4">
        <v>0.76</v>
      </c>
      <c r="E3" s="1">
        <v>0.75</v>
      </c>
      <c r="F3" s="10">
        <v>0.75</v>
      </c>
      <c r="G3" s="4">
        <v>0.76</v>
      </c>
      <c r="H3" s="1">
        <v>0.74</v>
      </c>
      <c r="I3" s="10">
        <v>0.76</v>
      </c>
      <c r="J3" s="4">
        <f t="shared" ref="J3:J12" si="3">4/3*PI()*A3*B3*C3/8</f>
        <v>0.21794799034279191</v>
      </c>
      <c r="K3" s="1">
        <f t="shared" ref="K3:K13" si="4">4/3*PI()*1/200*(A3*B3+B3*C3+A3*C3)</f>
        <v>3.5028758087526188E-2</v>
      </c>
      <c r="L3" s="1">
        <f t="shared" ref="L3:L12" si="5">4/3*PI()*D3*E3*F3/8</f>
        <v>0.22383847656827274</v>
      </c>
      <c r="M3" s="1">
        <f t="shared" ref="M3:M13" si="6">4/3*PI()*1/200*(D3*E3+E3*F3+D3*F3)</f>
        <v>3.5657076618244153E-2</v>
      </c>
      <c r="N3" s="10">
        <f t="shared" ref="N3:N12" si="7">4/3*PI()*G3*H3*I3/8</f>
        <v>0.22379868306132727</v>
      </c>
      <c r="O3" s="1">
        <f t="shared" ref="O3:O13" si="8">4/3*PI()*1/200*(G3*H3+H3*I3+G3*I3)</f>
        <v>3.5654982223141757E-2</v>
      </c>
      <c r="P3" s="4">
        <f t="shared" ref="P3:P13" si="9">MAX(K3,M3,O3)</f>
        <v>3.5657076618244153E-2</v>
      </c>
      <c r="Q3" s="1">
        <f t="shared" ref="Q3:Q13" si="10">P3/R3*100</f>
        <v>16.071757288931334</v>
      </c>
      <c r="R3">
        <f t="shared" ref="R3:R13" si="11">AVERAGE(J3,L3,N3)</f>
        <v>0.22186171665746399</v>
      </c>
      <c r="S3">
        <v>0.5</v>
      </c>
      <c r="T3">
        <v>0.12</v>
      </c>
      <c r="U3" s="5">
        <f>(T3-$T$2)/1+$N$2</f>
        <v>0.11649404032193386</v>
      </c>
      <c r="V3" s="30">
        <f t="shared" ref="V3:V13" si="12">ABS(U3-R3)/MAX(R3,U3)*100</f>
        <v>47.492500248796432</v>
      </c>
    </row>
    <row r="4" spans="1:22" x14ac:dyDescent="0.25">
      <c r="A4" s="4">
        <v>0.79</v>
      </c>
      <c r="B4" s="1">
        <v>0.93</v>
      </c>
      <c r="C4" s="10">
        <v>0.96</v>
      </c>
      <c r="D4" s="4">
        <v>0.79</v>
      </c>
      <c r="E4" s="1">
        <v>0.84</v>
      </c>
      <c r="F4" s="10">
        <v>1.1000000000000001</v>
      </c>
      <c r="G4" s="4">
        <v>0.77</v>
      </c>
      <c r="H4" s="1">
        <v>0.95</v>
      </c>
      <c r="I4" s="10">
        <v>0.9</v>
      </c>
      <c r="J4" s="4">
        <f t="shared" si="3"/>
        <v>0.36930049961478734</v>
      </c>
      <c r="K4" s="1">
        <f t="shared" si="4"/>
        <v>4.9970172747999246E-2</v>
      </c>
      <c r="L4" s="1">
        <f t="shared" si="5"/>
        <v>0.38220616223573423</v>
      </c>
      <c r="M4" s="1">
        <f t="shared" si="6"/>
        <v>5.1450910085391238E-2</v>
      </c>
      <c r="N4" s="10">
        <f t="shared" si="7"/>
        <v>0.34471125391514001</v>
      </c>
      <c r="O4" s="1">
        <f t="shared" si="8"/>
        <v>4.7741736359052885E-2</v>
      </c>
      <c r="P4" s="4">
        <f t="shared" si="9"/>
        <v>5.1450910085391238E-2</v>
      </c>
      <c r="Q4" s="1">
        <f t="shared" si="10"/>
        <v>14.080478711056726</v>
      </c>
      <c r="R4">
        <f t="shared" si="11"/>
        <v>0.36540597192188717</v>
      </c>
      <c r="S4">
        <v>1</v>
      </c>
      <c r="T4">
        <v>0.37333333330000001</v>
      </c>
      <c r="U4" s="5">
        <f t="shared" ref="U3:U13" si="13">(T4-$T$2)/1+$N$2</f>
        <v>0.36982737362193385</v>
      </c>
      <c r="V4" s="30">
        <f t="shared" si="12"/>
        <v>1.1955312168337699</v>
      </c>
    </row>
    <row r="5" spans="1:22" x14ac:dyDescent="0.25">
      <c r="A5" s="4">
        <v>0.99</v>
      </c>
      <c r="B5" s="1">
        <v>1.18</v>
      </c>
      <c r="C5" s="10">
        <v>0.99</v>
      </c>
      <c r="D5" s="4">
        <v>0.91</v>
      </c>
      <c r="E5" s="1">
        <v>1.1599999999999999</v>
      </c>
      <c r="F5" s="10">
        <v>1.01</v>
      </c>
      <c r="G5" s="4">
        <v>1</v>
      </c>
      <c r="H5" s="1">
        <v>1.1599999999999999</v>
      </c>
      <c r="I5" s="10">
        <v>1.06</v>
      </c>
      <c r="J5" s="4">
        <f t="shared" si="3"/>
        <v>0.60555140875739322</v>
      </c>
      <c r="K5" s="1">
        <f t="shared" si="4"/>
        <v>6.9460613570870314E-2</v>
      </c>
      <c r="L5" s="1">
        <f t="shared" si="5"/>
        <v>0.55823797619677995</v>
      </c>
      <c r="M5" s="1">
        <f t="shared" si="6"/>
        <v>6.5895953106597099E-2</v>
      </c>
      <c r="N5" s="10">
        <f t="shared" si="7"/>
        <v>0.64381705447566828</v>
      </c>
      <c r="O5" s="1">
        <f t="shared" si="8"/>
        <v>7.2248253452155659E-2</v>
      </c>
      <c r="P5" s="4">
        <f t="shared" si="9"/>
        <v>7.2248253452155659E-2</v>
      </c>
      <c r="Q5" s="1">
        <f t="shared" si="10"/>
        <v>11.990705256882855</v>
      </c>
      <c r="R5">
        <f t="shared" si="11"/>
        <v>0.60253547980994715</v>
      </c>
      <c r="S5">
        <v>1.5</v>
      </c>
      <c r="T5">
        <v>0.54666666669999997</v>
      </c>
      <c r="U5" s="5">
        <f t="shared" si="13"/>
        <v>0.54316070702193386</v>
      </c>
      <c r="V5" s="30">
        <f t="shared" si="12"/>
        <v>9.8541537847267318</v>
      </c>
    </row>
    <row r="6" spans="1:22" x14ac:dyDescent="0.25">
      <c r="A6" s="4">
        <v>1.31</v>
      </c>
      <c r="B6" s="1">
        <v>1.1000000000000001</v>
      </c>
      <c r="C6" s="10">
        <v>0.95</v>
      </c>
      <c r="D6" s="4">
        <v>1.278</v>
      </c>
      <c r="E6" s="1">
        <v>1.05</v>
      </c>
      <c r="F6" s="10">
        <v>0.99</v>
      </c>
      <c r="G6" s="4">
        <v>1.29</v>
      </c>
      <c r="H6" s="1">
        <v>0.8</v>
      </c>
      <c r="I6" s="10">
        <v>1.26</v>
      </c>
      <c r="J6" s="4">
        <f t="shared" si="3"/>
        <v>0.71678054385529122</v>
      </c>
      <c r="K6" s="1">
        <f t="shared" si="4"/>
        <v>7.8131409294778145E-2</v>
      </c>
      <c r="L6" s="1">
        <f t="shared" si="5"/>
        <v>0.69559102500560377</v>
      </c>
      <c r="M6" s="1">
        <f t="shared" si="6"/>
        <v>7.6374630682890743E-2</v>
      </c>
      <c r="N6" s="10">
        <f t="shared" si="7"/>
        <v>0.68084595988597996</v>
      </c>
      <c r="O6" s="1">
        <f t="shared" si="8"/>
        <v>7.6767958083120175E-2</v>
      </c>
      <c r="P6" s="4">
        <f t="shared" si="9"/>
        <v>7.8131409294778145E-2</v>
      </c>
      <c r="Q6" s="1">
        <f t="shared" si="10"/>
        <v>11.197795960778945</v>
      </c>
      <c r="R6">
        <f t="shared" si="11"/>
        <v>0.69773917624895831</v>
      </c>
      <c r="S6">
        <v>2</v>
      </c>
      <c r="T6">
        <v>0.71666666670000001</v>
      </c>
      <c r="U6" s="5">
        <f t="shared" si="13"/>
        <v>0.7131607070219339</v>
      </c>
      <c r="V6" s="30">
        <f t="shared" si="12"/>
        <v>2.1624201419304061</v>
      </c>
    </row>
    <row r="7" spans="1:22" x14ac:dyDescent="0.25">
      <c r="A7" s="4">
        <v>1.43</v>
      </c>
      <c r="B7" s="1">
        <v>1.19</v>
      </c>
      <c r="C7" s="10">
        <v>1.01</v>
      </c>
      <c r="D7" s="4">
        <v>1.49</v>
      </c>
      <c r="E7" s="1">
        <v>1.1000000000000001</v>
      </c>
      <c r="F7" s="10">
        <v>1</v>
      </c>
      <c r="G7" s="4">
        <v>1.5</v>
      </c>
      <c r="H7" s="1">
        <v>1</v>
      </c>
      <c r="I7" s="10">
        <v>1.1100000000000001</v>
      </c>
      <c r="J7" s="4">
        <f t="shared" si="3"/>
        <v>0.89991811679998135</v>
      </c>
      <c r="K7" s="1">
        <f t="shared" si="4"/>
        <v>9.1062204656953735E-2</v>
      </c>
      <c r="L7" s="1">
        <f t="shared" si="5"/>
        <v>0.85817839320561184</v>
      </c>
      <c r="M7" s="1">
        <f t="shared" si="6"/>
        <v>8.8571968880208227E-2</v>
      </c>
      <c r="N7" s="10">
        <f t="shared" si="7"/>
        <v>0.87179196137116766</v>
      </c>
      <c r="O7" s="1">
        <f t="shared" si="8"/>
        <v>8.95353906273091E-2</v>
      </c>
      <c r="P7" s="4">
        <f t="shared" si="9"/>
        <v>9.1062204656953735E-2</v>
      </c>
      <c r="Q7" s="1">
        <f t="shared" si="10"/>
        <v>10.387764231988381</v>
      </c>
      <c r="R7">
        <f t="shared" si="11"/>
        <v>0.87662949045892036</v>
      </c>
      <c r="S7">
        <v>3</v>
      </c>
      <c r="T7">
        <v>1.016666667</v>
      </c>
      <c r="U7" s="5">
        <f t="shared" si="13"/>
        <v>1.013160707321934</v>
      </c>
      <c r="V7" s="30">
        <f t="shared" si="12"/>
        <v>13.475771008126012</v>
      </c>
    </row>
    <row r="8" spans="1:22" x14ac:dyDescent="0.25">
      <c r="A8" s="4">
        <v>1.51</v>
      </c>
      <c r="B8" s="1">
        <v>1.1200000000000001</v>
      </c>
      <c r="C8" s="10">
        <v>1.38</v>
      </c>
      <c r="D8" s="4">
        <v>1.48</v>
      </c>
      <c r="E8" s="1">
        <v>1.23</v>
      </c>
      <c r="F8" s="10">
        <v>1.3</v>
      </c>
      <c r="G8" s="4">
        <v>1.5</v>
      </c>
      <c r="H8" s="1">
        <v>1.2</v>
      </c>
      <c r="I8" s="10">
        <v>1.41</v>
      </c>
      <c r="J8" s="4">
        <f t="shared" si="3"/>
        <v>1.2220041440227432</v>
      </c>
      <c r="K8" s="1">
        <f t="shared" si="4"/>
        <v>0.11143438581793236</v>
      </c>
      <c r="L8" s="1">
        <f t="shared" si="5"/>
        <v>1.2391069744288861</v>
      </c>
      <c r="M8" s="1">
        <f t="shared" si="6"/>
        <v>0.11191190790127799</v>
      </c>
      <c r="N8" s="10">
        <f t="shared" si="7"/>
        <v>1.3288936924684824</v>
      </c>
      <c r="O8" s="1">
        <f t="shared" si="8"/>
        <v>0.11743273339118644</v>
      </c>
      <c r="P8" s="4">
        <f t="shared" si="9"/>
        <v>0.11743273339118644</v>
      </c>
      <c r="Q8" s="1">
        <f t="shared" si="10"/>
        <v>9.2954552236579016</v>
      </c>
      <c r="R8">
        <f t="shared" si="11"/>
        <v>1.2633349369733706</v>
      </c>
      <c r="S8">
        <v>4</v>
      </c>
      <c r="T8">
        <v>1.28</v>
      </c>
      <c r="U8" s="5">
        <f t="shared" si="13"/>
        <v>1.276494040321934</v>
      </c>
      <c r="V8" s="30">
        <f t="shared" si="12"/>
        <v>1.0308785574309971</v>
      </c>
    </row>
    <row r="9" spans="1:22" x14ac:dyDescent="0.25">
      <c r="A9" s="4">
        <v>1.5</v>
      </c>
      <c r="B9" s="1">
        <v>1.3</v>
      </c>
      <c r="C9" s="10">
        <v>1.3</v>
      </c>
      <c r="D9" s="4">
        <v>1.4</v>
      </c>
      <c r="E9" s="1">
        <v>1.32</v>
      </c>
      <c r="F9" s="10">
        <v>1.45</v>
      </c>
      <c r="G9" s="4">
        <v>1.41</v>
      </c>
      <c r="H9" s="1">
        <v>1.47</v>
      </c>
      <c r="I9" s="10">
        <v>1.3</v>
      </c>
      <c r="J9" s="4">
        <f t="shared" si="3"/>
        <v>1.3273228961416876</v>
      </c>
      <c r="K9" s="1">
        <f t="shared" si="4"/>
        <v>0.11707668622377963</v>
      </c>
      <c r="L9" s="1">
        <f t="shared" si="5"/>
        <v>1.4030352790932015</v>
      </c>
      <c r="M9" s="1">
        <f t="shared" si="6"/>
        <v>0.12130736433061387</v>
      </c>
      <c r="N9" s="10">
        <f t="shared" si="7"/>
        <v>1.4108421368373723</v>
      </c>
      <c r="O9" s="1">
        <f t="shared" si="8"/>
        <v>0.12182467992090498</v>
      </c>
      <c r="P9" s="4">
        <f t="shared" si="9"/>
        <v>0.12182467992090498</v>
      </c>
      <c r="Q9" s="1">
        <f t="shared" si="10"/>
        <v>8.8253166285460694</v>
      </c>
      <c r="R9">
        <f t="shared" si="11"/>
        <v>1.380400104024087</v>
      </c>
      <c r="S9">
        <v>5</v>
      </c>
      <c r="T9">
        <v>1.4666666669999999</v>
      </c>
      <c r="U9" s="5">
        <f t="shared" si="13"/>
        <v>1.4631607073219339</v>
      </c>
      <c r="V9" s="30">
        <f t="shared" si="12"/>
        <v>5.6562893524748983</v>
      </c>
    </row>
    <row r="10" spans="1:22" x14ac:dyDescent="0.25">
      <c r="A10" s="4">
        <v>1.53</v>
      </c>
      <c r="B10" s="1">
        <v>1.4</v>
      </c>
      <c r="C10" s="10">
        <v>1.48</v>
      </c>
      <c r="D10" s="4">
        <v>1.63</v>
      </c>
      <c r="E10" s="1">
        <v>1.44</v>
      </c>
      <c r="F10" s="10">
        <v>1.43</v>
      </c>
      <c r="G10" s="4">
        <v>1.55</v>
      </c>
      <c r="H10" s="1">
        <v>1.48</v>
      </c>
      <c r="I10" s="10">
        <v>1.5</v>
      </c>
      <c r="J10" s="4">
        <f t="shared" si="3"/>
        <v>1.6598918944507026</v>
      </c>
      <c r="K10" s="1">
        <f t="shared" si="4"/>
        <v>0.13568329231344078</v>
      </c>
      <c r="L10" s="1">
        <f t="shared" si="5"/>
        <v>1.7574571959005871</v>
      </c>
      <c r="M10" s="1">
        <f t="shared" si="6"/>
        <v>0.14110568123353673</v>
      </c>
      <c r="N10" s="10">
        <f t="shared" si="7"/>
        <v>1.8017033868337462</v>
      </c>
      <c r="O10" s="1">
        <f t="shared" si="8"/>
        <v>0.14323568105267062</v>
      </c>
      <c r="P10" s="4">
        <f t="shared" si="9"/>
        <v>0.14323568105267062</v>
      </c>
      <c r="Q10" s="1">
        <f t="shared" si="10"/>
        <v>8.2334302066604241</v>
      </c>
      <c r="R10">
        <f t="shared" si="11"/>
        <v>1.7396841590616787</v>
      </c>
      <c r="S10">
        <v>7.3666666669999996</v>
      </c>
      <c r="T10">
        <v>1.859</v>
      </c>
      <c r="U10" s="5">
        <f t="shared" si="13"/>
        <v>1.855494040321934</v>
      </c>
      <c r="V10" s="30">
        <f t="shared" si="12"/>
        <v>6.2414580022128172</v>
      </c>
    </row>
    <row r="11" spans="1:22" x14ac:dyDescent="0.25">
      <c r="A11" s="4">
        <v>1.59</v>
      </c>
      <c r="B11" s="1">
        <v>1.5</v>
      </c>
      <c r="C11" s="10">
        <v>1.5</v>
      </c>
      <c r="D11" s="4">
        <v>1.6</v>
      </c>
      <c r="E11" s="1">
        <v>1.39</v>
      </c>
      <c r="F11" s="10">
        <v>1.55</v>
      </c>
      <c r="G11" s="4">
        <v>1.5</v>
      </c>
      <c r="H11" s="1">
        <v>1.5</v>
      </c>
      <c r="I11" s="10">
        <v>1.5</v>
      </c>
      <c r="J11" s="4">
        <f t="shared" si="3"/>
        <v>1.8731746197029142</v>
      </c>
      <c r="K11" s="1">
        <f t="shared" si="4"/>
        <v>0.14702653618800229</v>
      </c>
      <c r="L11" s="1">
        <f t="shared" si="5"/>
        <v>1.8049496992424559</v>
      </c>
      <c r="M11" s="1">
        <f t="shared" si="6"/>
        <v>0.14364408809763729</v>
      </c>
      <c r="N11" s="10">
        <f t="shared" si="7"/>
        <v>1.7671458676442586</v>
      </c>
      <c r="O11" s="1">
        <f t="shared" si="8"/>
        <v>0.14137166941154067</v>
      </c>
      <c r="P11" s="4">
        <f t="shared" si="9"/>
        <v>0.14702653618800229</v>
      </c>
      <c r="Q11" s="1">
        <f t="shared" si="10"/>
        <v>8.1002336605863619</v>
      </c>
      <c r="R11">
        <f t="shared" si="11"/>
        <v>1.8150900621965429</v>
      </c>
      <c r="S11">
        <v>9.9</v>
      </c>
      <c r="T11">
        <v>1.9359999999999999</v>
      </c>
      <c r="U11" s="5">
        <f t="shared" si="13"/>
        <v>1.9324940403219339</v>
      </c>
      <c r="V11" s="30">
        <f t="shared" si="12"/>
        <v>6.0752569309777922</v>
      </c>
    </row>
    <row r="12" spans="1:22" x14ac:dyDescent="0.25">
      <c r="A12" s="4">
        <v>1.52</v>
      </c>
      <c r="B12" s="1">
        <v>1.62</v>
      </c>
      <c r="C12" s="10">
        <v>1.51</v>
      </c>
      <c r="D12" s="4">
        <v>1.7</v>
      </c>
      <c r="E12" s="1">
        <v>1.5</v>
      </c>
      <c r="F12" s="10">
        <v>1.51</v>
      </c>
      <c r="G12" s="4">
        <v>1.59</v>
      </c>
      <c r="H12" s="1">
        <v>1.59</v>
      </c>
      <c r="I12" s="10">
        <v>1.59</v>
      </c>
      <c r="J12" s="4">
        <f t="shared" si="3"/>
        <v>1.946857533800209</v>
      </c>
      <c r="K12" s="1">
        <f t="shared" si="4"/>
        <v>0.15087603438620098</v>
      </c>
      <c r="L12" s="1">
        <f t="shared" si="5"/>
        <v>2.0161170854412496</v>
      </c>
      <c r="M12" s="1">
        <f t="shared" si="6"/>
        <v>0.15460824645866567</v>
      </c>
      <c r="N12" s="10">
        <f t="shared" si="7"/>
        <v>2.1046990026981942</v>
      </c>
      <c r="O12" s="1">
        <f t="shared" si="8"/>
        <v>0.15884520775080713</v>
      </c>
      <c r="P12" s="4">
        <f t="shared" si="9"/>
        <v>0.15884520775080713</v>
      </c>
      <c r="Q12" s="1">
        <f t="shared" si="10"/>
        <v>7.8536792343172745</v>
      </c>
      <c r="R12">
        <f t="shared" si="11"/>
        <v>2.0225578739798844</v>
      </c>
      <c r="S12">
        <v>14</v>
      </c>
      <c r="T12">
        <v>1.97</v>
      </c>
      <c r="U12" s="5">
        <f t="shared" si="13"/>
        <v>1.966494040321934</v>
      </c>
      <c r="V12" s="30">
        <f t="shared" si="12"/>
        <v>2.771927289656781</v>
      </c>
    </row>
    <row r="13" spans="1:22" ht="15.75" thickBot="1" x14ac:dyDescent="0.3">
      <c r="A13" s="6">
        <v>1.52</v>
      </c>
      <c r="B13" s="7">
        <v>1.62</v>
      </c>
      <c r="C13" s="11">
        <v>1.51</v>
      </c>
      <c r="D13" s="6">
        <v>1.7</v>
      </c>
      <c r="E13" s="7">
        <v>1.5</v>
      </c>
      <c r="F13" s="11">
        <v>1.51</v>
      </c>
      <c r="G13" s="6">
        <v>1.59</v>
      </c>
      <c r="H13" s="7">
        <v>1.59</v>
      </c>
      <c r="I13" s="11">
        <v>1.59</v>
      </c>
      <c r="J13" s="6">
        <f t="shared" ref="J13" si="14">4/3*PI()*A13*B13*C13/8</f>
        <v>1.946857533800209</v>
      </c>
      <c r="K13" s="7">
        <f t="shared" si="4"/>
        <v>0.15087603438620098</v>
      </c>
      <c r="L13" s="7">
        <f t="shared" ref="L13" si="15">4/3*PI()*D13*E13*F13/8</f>
        <v>2.0161170854412496</v>
      </c>
      <c r="M13" s="7">
        <f t="shared" si="6"/>
        <v>0.15460824645866567</v>
      </c>
      <c r="N13" s="11">
        <f t="shared" ref="N13" si="16">4/3*PI()*G13*H13*I13/8</f>
        <v>2.1046990026981942</v>
      </c>
      <c r="O13" s="7">
        <f t="shared" si="8"/>
        <v>0.15884520775080713</v>
      </c>
      <c r="P13" s="6">
        <f t="shared" si="9"/>
        <v>0.15884520775080713</v>
      </c>
      <c r="Q13" s="7">
        <f t="shared" si="10"/>
        <v>7.8536792343172745</v>
      </c>
      <c r="R13" s="8">
        <f t="shared" si="11"/>
        <v>2.0225578739798844</v>
      </c>
      <c r="S13" s="8">
        <v>22.666666670000001</v>
      </c>
      <c r="T13" s="8">
        <v>1.97</v>
      </c>
      <c r="U13" s="9">
        <f t="shared" si="13"/>
        <v>1.966494040321934</v>
      </c>
      <c r="V13" s="31">
        <f t="shared" si="12"/>
        <v>2.771927289656781</v>
      </c>
    </row>
  </sheetData>
  <mergeCells count="3">
    <mergeCell ref="A1:C1"/>
    <mergeCell ref="D1:F1"/>
    <mergeCell ref="G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opLeftCell="I1" workbookViewId="0">
      <selection activeCell="V1" sqref="V1"/>
    </sheetView>
  </sheetViews>
  <sheetFormatPr baseColWidth="10" defaultRowHeight="15" x14ac:dyDescent="0.25"/>
  <cols>
    <col min="22" max="22" width="15" bestFit="1" customWidth="1"/>
  </cols>
  <sheetData>
    <row r="1" spans="1:22" ht="15.75" thickBot="1" x14ac:dyDescent="0.3">
      <c r="A1" s="54" t="s">
        <v>6</v>
      </c>
      <c r="B1" s="57"/>
      <c r="C1" s="58"/>
      <c r="D1" s="54" t="s">
        <v>7</v>
      </c>
      <c r="E1" s="57"/>
      <c r="F1" s="58"/>
      <c r="G1" s="57" t="s">
        <v>8</v>
      </c>
      <c r="H1" s="57"/>
      <c r="I1" s="58"/>
      <c r="J1" s="26" t="s">
        <v>0</v>
      </c>
      <c r="K1" s="24" t="s">
        <v>13</v>
      </c>
      <c r="L1" s="36" t="s">
        <v>1</v>
      </c>
      <c r="M1" s="24" t="s">
        <v>14</v>
      </c>
      <c r="N1" s="36" t="s">
        <v>2</v>
      </c>
      <c r="O1" s="25" t="s">
        <v>15</v>
      </c>
      <c r="P1" s="12" t="s">
        <v>16</v>
      </c>
      <c r="Q1" s="13" t="s">
        <v>9</v>
      </c>
      <c r="R1" s="25" t="s">
        <v>17</v>
      </c>
      <c r="S1" s="26" t="s">
        <v>10</v>
      </c>
      <c r="T1" s="27" t="s">
        <v>5</v>
      </c>
      <c r="U1" s="3" t="s">
        <v>3</v>
      </c>
      <c r="V1" s="74" t="s">
        <v>18</v>
      </c>
    </row>
    <row r="2" spans="1:22" x14ac:dyDescent="0.25">
      <c r="A2" s="4">
        <v>0.28000000000000003</v>
      </c>
      <c r="B2" s="1">
        <v>0.28000000000000003</v>
      </c>
      <c r="C2" s="10">
        <v>0.28000000000000003</v>
      </c>
      <c r="D2" s="4">
        <v>0.28000000000000003</v>
      </c>
      <c r="E2" s="1">
        <v>0.28000000000000003</v>
      </c>
      <c r="F2" s="10">
        <v>0.28000000000000003</v>
      </c>
      <c r="G2" s="1">
        <v>0.28000000000000003</v>
      </c>
      <c r="H2" s="1">
        <v>0.28000000000000003</v>
      </c>
      <c r="I2" s="10">
        <v>0.28000000000000003</v>
      </c>
      <c r="J2" s="40">
        <f t="shared" ref="J2" si="0">4/3*PI()*A2*B2*C2/8</f>
        <v>1.149404032193386E-2</v>
      </c>
      <c r="K2" s="41">
        <f>4/3*PI()*1/200*(A2*B2+B2*C2+A2*C2)</f>
        <v>4.9260172808287955E-3</v>
      </c>
      <c r="L2" s="41">
        <f t="shared" ref="L2" si="1">4/3*PI()*D2*E2*F2/8</f>
        <v>1.149404032193386E-2</v>
      </c>
      <c r="M2" s="41">
        <f>4/3*PI()*1/200*(D2*E2+E2*F2+D2*F2)</f>
        <v>4.9260172808287955E-3</v>
      </c>
      <c r="N2" s="44">
        <f t="shared" ref="N2" si="2">4/3*PI()*G2*H2*I2/8</f>
        <v>1.149404032193386E-2</v>
      </c>
      <c r="O2" s="44">
        <f>4/3*PI()*1/200*(G2*H2+H2*I2+G2*I2)</f>
        <v>4.9260172808287955E-3</v>
      </c>
      <c r="P2" s="2">
        <f>MAX(K2,M2,O2)</f>
        <v>4.9260172808287955E-3</v>
      </c>
      <c r="Q2" s="1">
        <f>P2/R2*100</f>
        <v>42.857142857142847</v>
      </c>
      <c r="R2" s="10">
        <f>AVERAGE(J2,L2,N2)</f>
        <v>1.149404032193386E-2</v>
      </c>
      <c r="S2" s="19">
        <v>1.4999999999999999E-2</v>
      </c>
      <c r="T2" s="17">
        <v>0</v>
      </c>
      <c r="U2" s="29">
        <f>(S2-$S$2)/1.05+$N$2</f>
        <v>1.149404032193386E-2</v>
      </c>
      <c r="V2" s="30">
        <f>ABS(U2-R2)/MAX(R2,U2)*100</f>
        <v>0</v>
      </c>
    </row>
    <row r="3" spans="1:22" x14ac:dyDescent="0.25">
      <c r="A3" s="4">
        <v>0.64</v>
      </c>
      <c r="B3" s="1">
        <v>0.64</v>
      </c>
      <c r="C3" s="10">
        <v>0.64</v>
      </c>
      <c r="D3" s="4">
        <v>0.74</v>
      </c>
      <c r="E3" s="1">
        <v>0.74</v>
      </c>
      <c r="F3" s="10">
        <v>0.74</v>
      </c>
      <c r="G3" s="1">
        <v>0.7</v>
      </c>
      <c r="H3" s="1">
        <v>0.7</v>
      </c>
      <c r="I3" s="10">
        <v>0.68</v>
      </c>
      <c r="J3" s="4">
        <f t="shared" ref="J3:J16" si="3">4/3*PI()*A3*B3*C3/8</f>
        <v>0.13725827743044045</v>
      </c>
      <c r="K3" s="1">
        <f t="shared" ref="K3:K17" si="4">4/3*PI()*1/200*(A3*B3+B3*C3+A3*C3)</f>
        <v>2.5735927018207587E-2</v>
      </c>
      <c r="L3" s="1">
        <f t="shared" ref="L3:L16" si="5">4/3*PI()*D3*E3*F3/8</f>
        <v>0.21217479024304503</v>
      </c>
      <c r="M3" s="1">
        <f t="shared" ref="M3:M17" si="6">4/3*PI()*1/200*(D3*E3+E3*F3+D3*F3)</f>
        <v>3.4406722742115405E-2</v>
      </c>
      <c r="N3" s="10">
        <f t="shared" ref="N3:N17" si="7">4/3*PI()*G3*H3*I3/8</f>
        <v>0.17446311202935316</v>
      </c>
      <c r="O3" s="1">
        <f t="shared" ref="O3:O17" si="8">4/3*PI()*1/200*(G3*H3+H3*I3+G3*I3)</f>
        <v>3.0201177376509875E-2</v>
      </c>
      <c r="P3" s="4">
        <f t="shared" ref="P3:P17" si="9">MAX(K3,M3,O3)</f>
        <v>3.4406722742115405E-2</v>
      </c>
      <c r="Q3" s="1">
        <f t="shared" ref="Q3:Q17" si="10">P3/R3*100</f>
        <v>19.702409031670008</v>
      </c>
      <c r="R3" s="10">
        <f t="shared" ref="R3:R17" si="11">AVERAGE(J3,L3,N3)</f>
        <v>0.17463205990094621</v>
      </c>
      <c r="S3" s="19">
        <v>0.12322074099999999</v>
      </c>
      <c r="T3" s="17">
        <v>0.5</v>
      </c>
      <c r="U3" s="30">
        <f t="shared" ref="U3:U17" si="12">(S3-$S$2)/1.05+$N$2</f>
        <v>0.11456141270288624</v>
      </c>
      <c r="V3" s="30">
        <f t="shared" ref="V3:V17" si="13">ABS(U3-R3)/MAX(R3,U3)*100</f>
        <v>34.398407275349612</v>
      </c>
    </row>
    <row r="4" spans="1:22" x14ac:dyDescent="0.25">
      <c r="A4" s="4">
        <v>0.79</v>
      </c>
      <c r="B4" s="1">
        <v>0.86</v>
      </c>
      <c r="C4" s="10">
        <v>0.83</v>
      </c>
      <c r="D4" s="4">
        <v>0.76</v>
      </c>
      <c r="E4" s="1">
        <v>0.8</v>
      </c>
      <c r="F4" s="10">
        <v>0.85</v>
      </c>
      <c r="G4" s="1">
        <v>0.79</v>
      </c>
      <c r="H4" s="1">
        <v>0.83</v>
      </c>
      <c r="I4" s="10">
        <v>0.82</v>
      </c>
      <c r="J4" s="4">
        <f t="shared" si="3"/>
        <v>0.29525839675743187</v>
      </c>
      <c r="K4" s="1">
        <f t="shared" si="4"/>
        <v>4.2912061252934175E-2</v>
      </c>
      <c r="L4" s="1">
        <f t="shared" si="5"/>
        <v>0.27059584722920083</v>
      </c>
      <c r="M4" s="1">
        <f t="shared" si="6"/>
        <v>4.0505601280284402E-2</v>
      </c>
      <c r="N4" s="10">
        <f t="shared" si="7"/>
        <v>0.28152544807103969</v>
      </c>
      <c r="O4" s="1">
        <f t="shared" si="8"/>
        <v>4.155489322658338E-2</v>
      </c>
      <c r="P4" s="4">
        <f t="shared" si="9"/>
        <v>4.2912061252934175E-2</v>
      </c>
      <c r="Q4" s="1">
        <f t="shared" si="10"/>
        <v>15.192266815622576</v>
      </c>
      <c r="R4" s="10">
        <f t="shared" si="11"/>
        <v>0.28245989735255744</v>
      </c>
      <c r="S4" s="19">
        <v>0.24174164519999999</v>
      </c>
      <c r="T4" s="17">
        <v>1</v>
      </c>
      <c r="U4" s="30">
        <f t="shared" si="12"/>
        <v>0.22743846432193385</v>
      </c>
      <c r="V4" s="30">
        <f t="shared" si="13"/>
        <v>19.479378682187793</v>
      </c>
    </row>
    <row r="5" spans="1:22" x14ac:dyDescent="0.25">
      <c r="A5" s="4">
        <v>0.8</v>
      </c>
      <c r="B5" s="1">
        <v>1</v>
      </c>
      <c r="C5" s="10">
        <v>0.86</v>
      </c>
      <c r="D5" s="4">
        <v>0.95</v>
      </c>
      <c r="E5" s="1">
        <v>0.95</v>
      </c>
      <c r="F5" s="10">
        <v>0.95</v>
      </c>
      <c r="G5" s="1">
        <v>0.89</v>
      </c>
      <c r="H5" s="1">
        <v>0.97</v>
      </c>
      <c r="I5" s="10">
        <v>0.89</v>
      </c>
      <c r="J5" s="4">
        <f t="shared" si="3"/>
        <v>0.36023595761162958</v>
      </c>
      <c r="K5" s="1">
        <f t="shared" si="4"/>
        <v>4.9176397004192234E-2</v>
      </c>
      <c r="L5" s="1">
        <f t="shared" si="5"/>
        <v>0.44892050022859137</v>
      </c>
      <c r="M5" s="1">
        <f t="shared" si="6"/>
        <v>5.670574739729576E-2</v>
      </c>
      <c r="N5" s="10">
        <f t="shared" si="7"/>
        <v>0.40230031244687015</v>
      </c>
      <c r="O5" s="1">
        <f t="shared" si="8"/>
        <v>5.2751529443977409E-2</v>
      </c>
      <c r="P5" s="4">
        <f t="shared" si="9"/>
        <v>5.670574739729576E-2</v>
      </c>
      <c r="Q5" s="1">
        <f t="shared" si="10"/>
        <v>14.042370009750565</v>
      </c>
      <c r="R5" s="10">
        <f t="shared" si="11"/>
        <v>0.40381892342903036</v>
      </c>
      <c r="S5" s="19">
        <v>0.35795108619999999</v>
      </c>
      <c r="T5" s="17">
        <v>1.5</v>
      </c>
      <c r="U5" s="30">
        <f t="shared" si="12"/>
        <v>0.33811412241717193</v>
      </c>
      <c r="V5" s="30">
        <f t="shared" si="13"/>
        <v>16.270857357036615</v>
      </c>
    </row>
    <row r="6" spans="1:22" x14ac:dyDescent="0.25">
      <c r="A6" s="4">
        <v>0.77</v>
      </c>
      <c r="B6" s="1">
        <v>1</v>
      </c>
      <c r="C6" s="10">
        <v>1</v>
      </c>
      <c r="D6" s="4">
        <v>1.01</v>
      </c>
      <c r="E6" s="1">
        <v>1.1399999999999999</v>
      </c>
      <c r="F6" s="10">
        <v>0.76</v>
      </c>
      <c r="G6" s="1">
        <v>0.82</v>
      </c>
      <c r="H6" s="1">
        <v>1</v>
      </c>
      <c r="I6" s="10">
        <v>1</v>
      </c>
      <c r="J6" s="4">
        <f t="shared" si="3"/>
        <v>0.40317105721069008</v>
      </c>
      <c r="K6" s="1">
        <f t="shared" si="4"/>
        <v>5.3197635600787163E-2</v>
      </c>
      <c r="L6" s="1">
        <f t="shared" si="5"/>
        <v>0.45818243897014976</v>
      </c>
      <c r="M6" s="1">
        <f t="shared" si="6"/>
        <v>5.8337281182060059E-2</v>
      </c>
      <c r="N6" s="10">
        <f t="shared" si="7"/>
        <v>0.429350995990605</v>
      </c>
      <c r="O6" s="1">
        <f t="shared" si="8"/>
        <v>5.5292030703180346E-2</v>
      </c>
      <c r="P6" s="4">
        <f t="shared" si="9"/>
        <v>5.8337281182060059E-2</v>
      </c>
      <c r="Q6" s="1">
        <f t="shared" si="10"/>
        <v>13.559404542843515</v>
      </c>
      <c r="R6" s="10">
        <f t="shared" si="11"/>
        <v>0.43023483072381491</v>
      </c>
      <c r="S6" s="19">
        <v>0.46767654139999998</v>
      </c>
      <c r="T6" s="17">
        <v>2</v>
      </c>
      <c r="U6" s="30">
        <f t="shared" si="12"/>
        <v>0.44261455594098142</v>
      </c>
      <c r="V6" s="30">
        <f t="shared" si="13"/>
        <v>2.7969539300052388</v>
      </c>
    </row>
    <row r="7" spans="1:22" x14ac:dyDescent="0.25">
      <c r="A7" s="4">
        <v>0.83</v>
      </c>
      <c r="B7" s="1">
        <v>1.1499999999999999</v>
      </c>
      <c r="C7" s="10">
        <v>1.1499999999999999</v>
      </c>
      <c r="D7" s="4">
        <v>1.22</v>
      </c>
      <c r="E7" s="1">
        <v>1.03</v>
      </c>
      <c r="F7" s="10">
        <v>0.82</v>
      </c>
      <c r="G7" s="1">
        <v>0.83</v>
      </c>
      <c r="H7" s="1">
        <v>1.1299999999999999</v>
      </c>
      <c r="I7" s="10">
        <v>1.1299999999999999</v>
      </c>
      <c r="J7" s="4">
        <f t="shared" si="3"/>
        <v>0.57474128600486252</v>
      </c>
      <c r="K7" s="1">
        <f t="shared" si="4"/>
        <v>6.7680377733836103E-2</v>
      </c>
      <c r="L7" s="1">
        <f t="shared" si="5"/>
        <v>0.53952246156179418</v>
      </c>
      <c r="M7" s="1">
        <f t="shared" si="6"/>
        <v>6.4959758495827344E-2</v>
      </c>
      <c r="N7" s="10">
        <f t="shared" si="7"/>
        <v>0.55492411954601806</v>
      </c>
      <c r="O7" s="1">
        <f t="shared" si="8"/>
        <v>6.6029994393150257E-2</v>
      </c>
      <c r="P7" s="4">
        <f t="shared" si="9"/>
        <v>6.7680377733836103E-2</v>
      </c>
      <c r="Q7" s="1">
        <f t="shared" si="10"/>
        <v>12.164067161159306</v>
      </c>
      <c r="R7" s="10">
        <f t="shared" si="11"/>
        <v>0.55639595570422495</v>
      </c>
      <c r="S7" s="19">
        <v>0.67221810250000003</v>
      </c>
      <c r="T7" s="17">
        <v>3</v>
      </c>
      <c r="U7" s="30">
        <f t="shared" si="12"/>
        <v>0.63741604270288632</v>
      </c>
      <c r="V7" s="30">
        <f t="shared" si="13"/>
        <v>12.71070722586545</v>
      </c>
    </row>
    <row r="8" spans="1:22" x14ac:dyDescent="0.25">
      <c r="A8" s="4">
        <v>1.24</v>
      </c>
      <c r="B8" s="1">
        <v>1.24</v>
      </c>
      <c r="C8" s="10">
        <v>0.95</v>
      </c>
      <c r="D8" s="4">
        <v>1.03</v>
      </c>
      <c r="E8" s="1">
        <v>1.35</v>
      </c>
      <c r="F8" s="10">
        <v>0.88</v>
      </c>
      <c r="G8" s="1">
        <v>1.18</v>
      </c>
      <c r="H8" s="1">
        <v>1.2</v>
      </c>
      <c r="I8" s="10">
        <v>0.95</v>
      </c>
      <c r="J8" s="4">
        <f t="shared" si="3"/>
        <v>0.76483120349194689</v>
      </c>
      <c r="K8" s="1">
        <f t="shared" si="4"/>
        <v>8.1547367706781448E-2</v>
      </c>
      <c r="L8" s="1">
        <f t="shared" si="5"/>
        <v>0.64069640577310238</v>
      </c>
      <c r="M8" s="1">
        <f t="shared" si="6"/>
        <v>7.2987574923300463E-2</v>
      </c>
      <c r="N8" s="10">
        <f t="shared" si="7"/>
        <v>0.7043450729348314</v>
      </c>
      <c r="O8" s="1">
        <f t="shared" si="8"/>
        <v>7.7010907914997789E-2</v>
      </c>
      <c r="P8" s="4">
        <f t="shared" si="9"/>
        <v>8.1547367706781448E-2</v>
      </c>
      <c r="Q8" s="1">
        <f t="shared" si="10"/>
        <v>11.595112121422687</v>
      </c>
      <c r="R8" s="10">
        <f t="shared" si="11"/>
        <v>0.70329089406662693</v>
      </c>
      <c r="S8" s="19">
        <v>0.95071457049999997</v>
      </c>
      <c r="T8" s="17">
        <v>4.5</v>
      </c>
      <c r="U8" s="30">
        <f t="shared" si="12"/>
        <v>0.90265077413145767</v>
      </c>
      <c r="V8" s="30">
        <f t="shared" si="13"/>
        <v>22.086047647458944</v>
      </c>
    </row>
    <row r="9" spans="1:22" x14ac:dyDescent="0.25">
      <c r="A9" s="4">
        <v>1.31</v>
      </c>
      <c r="B9" s="1">
        <v>1.31</v>
      </c>
      <c r="C9" s="10">
        <v>1.26</v>
      </c>
      <c r="D9" s="4">
        <v>1.1399999999999999</v>
      </c>
      <c r="E9" s="1">
        <v>1.44</v>
      </c>
      <c r="F9" s="10">
        <v>1.23</v>
      </c>
      <c r="G9" s="1">
        <v>1.26</v>
      </c>
      <c r="H9" s="1">
        <v>1.31</v>
      </c>
      <c r="I9" s="10">
        <v>1.26</v>
      </c>
      <c r="J9" s="4">
        <f t="shared" si="3"/>
        <v>1.1321703020933434</v>
      </c>
      <c r="K9" s="1">
        <f t="shared" si="4"/>
        <v>0.1050820854723738</v>
      </c>
      <c r="L9" s="1">
        <f t="shared" si="5"/>
        <v>1.0572338925272657</v>
      </c>
      <c r="M9" s="1">
        <f t="shared" si="6"/>
        <v>0.10084512418023234</v>
      </c>
      <c r="N9" s="10">
        <f t="shared" si="7"/>
        <v>1.0889576951432156</v>
      </c>
      <c r="O9" s="1">
        <f t="shared" si="8"/>
        <v>0.10239078776579852</v>
      </c>
      <c r="P9" s="4">
        <f t="shared" si="9"/>
        <v>0.1050820854723738</v>
      </c>
      <c r="Q9" s="1">
        <f t="shared" si="10"/>
        <v>9.6159687983632569</v>
      </c>
      <c r="R9" s="10">
        <f t="shared" si="11"/>
        <v>1.0927872965879415</v>
      </c>
      <c r="S9" s="19">
        <v>1.1172223590000001</v>
      </c>
      <c r="T9" s="17">
        <v>5.5</v>
      </c>
      <c r="U9" s="30">
        <f t="shared" si="12"/>
        <v>1.061229620321934</v>
      </c>
      <c r="V9" s="30">
        <f t="shared" si="13"/>
        <v>2.8878150729370127</v>
      </c>
    </row>
    <row r="10" spans="1:22" x14ac:dyDescent="0.25">
      <c r="A10" s="4">
        <v>1.44</v>
      </c>
      <c r="B10" s="1">
        <v>1.32</v>
      </c>
      <c r="C10" s="10">
        <v>1.21</v>
      </c>
      <c r="D10" s="4">
        <v>1.28</v>
      </c>
      <c r="E10" s="1">
        <v>1.28</v>
      </c>
      <c r="F10" s="10">
        <v>1.28</v>
      </c>
      <c r="G10" s="1">
        <v>1.38</v>
      </c>
      <c r="H10" s="1">
        <v>1.32</v>
      </c>
      <c r="I10" s="10">
        <v>1.21</v>
      </c>
      <c r="J10" s="4">
        <f t="shared" si="3"/>
        <v>1.2042604287152681</v>
      </c>
      <c r="K10" s="1">
        <f t="shared" si="4"/>
        <v>0.109754680945813</v>
      </c>
      <c r="L10" s="1">
        <f t="shared" si="5"/>
        <v>1.0980662194435236</v>
      </c>
      <c r="M10" s="1">
        <f t="shared" si="6"/>
        <v>0.10294370807283035</v>
      </c>
      <c r="N10" s="10">
        <f t="shared" si="7"/>
        <v>1.154082910852132</v>
      </c>
      <c r="O10" s="1">
        <f t="shared" si="8"/>
        <v>0.10657538918038012</v>
      </c>
      <c r="P10" s="4">
        <f t="shared" si="9"/>
        <v>0.109754680945813</v>
      </c>
      <c r="Q10" s="1">
        <f t="shared" si="10"/>
        <v>9.5261871377204574</v>
      </c>
      <c r="R10" s="10">
        <f t="shared" si="11"/>
        <v>1.1521365196703079</v>
      </c>
      <c r="S10" s="19">
        <v>1.2938867510000001</v>
      </c>
      <c r="T10" s="17">
        <v>6.6666666670000003</v>
      </c>
      <c r="U10" s="30">
        <f t="shared" si="12"/>
        <v>1.2294814222266959</v>
      </c>
      <c r="V10" s="30">
        <f t="shared" si="13"/>
        <v>6.2908557346323875</v>
      </c>
    </row>
    <row r="11" spans="1:22" x14ac:dyDescent="0.25">
      <c r="A11" s="4">
        <v>1.45</v>
      </c>
      <c r="B11" s="1">
        <v>1.28</v>
      </c>
      <c r="C11" s="10">
        <v>1.28</v>
      </c>
      <c r="D11" s="4">
        <v>1.46</v>
      </c>
      <c r="E11" s="1">
        <v>1.2</v>
      </c>
      <c r="F11" s="10">
        <v>1.28</v>
      </c>
      <c r="G11" s="1">
        <v>1.47</v>
      </c>
      <c r="H11" s="1">
        <v>1.34</v>
      </c>
      <c r="I11" s="10">
        <v>1.28</v>
      </c>
      <c r="J11" s="4">
        <f t="shared" si="3"/>
        <v>1.2439031392133666</v>
      </c>
      <c r="K11" s="1">
        <f t="shared" si="4"/>
        <v>0.11205851555844551</v>
      </c>
      <c r="L11" s="1">
        <f t="shared" si="5"/>
        <v>1.174201670205721</v>
      </c>
      <c r="M11" s="1">
        <f t="shared" si="6"/>
        <v>0.1080037666402123</v>
      </c>
      <c r="N11" s="10">
        <f t="shared" si="7"/>
        <v>1.3201726312621174</v>
      </c>
      <c r="O11" s="1">
        <f t="shared" si="8"/>
        <v>0.11658659776981961</v>
      </c>
      <c r="P11" s="4">
        <f t="shared" si="9"/>
        <v>0.11658659776981961</v>
      </c>
      <c r="Q11" s="1">
        <f t="shared" si="10"/>
        <v>9.3561753738032891</v>
      </c>
      <c r="R11" s="10">
        <f t="shared" si="11"/>
        <v>1.2460924802270685</v>
      </c>
      <c r="S11" s="19">
        <v>1.491599635</v>
      </c>
      <c r="T11" s="17">
        <v>8.1666666669999906</v>
      </c>
      <c r="U11" s="30">
        <f t="shared" si="12"/>
        <v>1.4177794069886007</v>
      </c>
      <c r="V11" s="30">
        <f t="shared" si="13"/>
        <v>12.109565558312035</v>
      </c>
    </row>
    <row r="12" spans="1:22" x14ac:dyDescent="0.25">
      <c r="A12" s="4">
        <v>1.38</v>
      </c>
      <c r="B12" s="1">
        <v>1.4</v>
      </c>
      <c r="C12" s="10">
        <v>1.5</v>
      </c>
      <c r="D12" s="4">
        <v>1.4</v>
      </c>
      <c r="E12" s="1">
        <v>1.4</v>
      </c>
      <c r="F12" s="10">
        <v>1.5</v>
      </c>
      <c r="G12" s="1">
        <v>1.38</v>
      </c>
      <c r="H12" s="1">
        <v>1.41</v>
      </c>
      <c r="I12" s="10">
        <v>1.5</v>
      </c>
      <c r="J12" s="4">
        <f t="shared" si="3"/>
        <v>1.5173892516838698</v>
      </c>
      <c r="K12" s="1">
        <f t="shared" si="4"/>
        <v>0.12779998914803276</v>
      </c>
      <c r="L12" s="1">
        <f t="shared" si="5"/>
        <v>1.5393804002589984</v>
      </c>
      <c r="M12" s="1">
        <f t="shared" si="6"/>
        <v>0.1290147383074208</v>
      </c>
      <c r="N12" s="10">
        <f t="shared" si="7"/>
        <v>1.5282277463387546</v>
      </c>
      <c r="O12" s="1">
        <f t="shared" si="8"/>
        <v>0.12840317493752199</v>
      </c>
      <c r="P12" s="4">
        <f t="shared" si="9"/>
        <v>0.1290147383074208</v>
      </c>
      <c r="Q12" s="1">
        <f t="shared" si="10"/>
        <v>8.4415361951420049</v>
      </c>
      <c r="R12" s="10">
        <f t="shared" si="11"/>
        <v>1.5283324660938742</v>
      </c>
      <c r="S12" s="19">
        <v>1.699937778</v>
      </c>
      <c r="T12" s="17">
        <v>10.66666667</v>
      </c>
      <c r="U12" s="30">
        <f t="shared" si="12"/>
        <v>1.6161966860362196</v>
      </c>
      <c r="V12" s="30">
        <f t="shared" si="13"/>
        <v>5.436480640103003</v>
      </c>
    </row>
    <row r="13" spans="1:22" x14ac:dyDescent="0.25">
      <c r="A13" s="4">
        <v>1.5</v>
      </c>
      <c r="B13" s="1">
        <v>1.42</v>
      </c>
      <c r="C13" s="10">
        <v>1.47</v>
      </c>
      <c r="D13" s="4">
        <v>1.64</v>
      </c>
      <c r="E13" s="1">
        <v>1.4</v>
      </c>
      <c r="F13" s="10">
        <v>1.36</v>
      </c>
      <c r="G13" s="1">
        <v>1.4</v>
      </c>
      <c r="H13" s="1">
        <v>1.4</v>
      </c>
      <c r="I13" s="10">
        <v>1.47</v>
      </c>
      <c r="J13" s="4">
        <f t="shared" si="3"/>
        <v>1.6394401262758334</v>
      </c>
      <c r="K13" s="1">
        <f t="shared" si="4"/>
        <v>0.13451043105610055</v>
      </c>
      <c r="L13" s="1">
        <f t="shared" si="5"/>
        <v>1.6349685927322239</v>
      </c>
      <c r="M13" s="1">
        <f t="shared" si="6"/>
        <v>0.13467798266429201</v>
      </c>
      <c r="N13" s="10">
        <f t="shared" si="7"/>
        <v>1.5085927922538185</v>
      </c>
      <c r="O13" s="1">
        <f t="shared" si="8"/>
        <v>0.12725544642141054</v>
      </c>
      <c r="P13" s="4">
        <f t="shared" si="9"/>
        <v>0.13467798266429201</v>
      </c>
      <c r="Q13" s="1">
        <f t="shared" si="10"/>
        <v>8.4472887378679022</v>
      </c>
      <c r="R13" s="10">
        <f t="shared" si="11"/>
        <v>1.5943338370872919</v>
      </c>
      <c r="S13" s="19">
        <v>1.800607888</v>
      </c>
      <c r="T13" s="17">
        <v>12.66666667</v>
      </c>
      <c r="U13" s="30">
        <f t="shared" si="12"/>
        <v>1.712072981274315</v>
      </c>
      <c r="V13" s="30">
        <f t="shared" si="13"/>
        <v>6.8769932984625735</v>
      </c>
    </row>
    <row r="14" spans="1:22" x14ac:dyDescent="0.25">
      <c r="A14" s="4">
        <v>1.48</v>
      </c>
      <c r="B14" s="1">
        <v>1.48</v>
      </c>
      <c r="C14" s="10">
        <v>1.5</v>
      </c>
      <c r="D14" s="4">
        <v>1.53</v>
      </c>
      <c r="E14" s="1">
        <v>1.45</v>
      </c>
      <c r="F14" s="10">
        <v>1.4</v>
      </c>
      <c r="G14" s="1">
        <v>1.45</v>
      </c>
      <c r="H14" s="1">
        <v>1.46</v>
      </c>
      <c r="I14" s="10">
        <v>1.5</v>
      </c>
      <c r="J14" s="4">
        <f t="shared" si="3"/>
        <v>1.7203361371057704</v>
      </c>
      <c r="K14" s="1">
        <f t="shared" si="4"/>
        <v>0.13886677286907839</v>
      </c>
      <c r="L14" s="1">
        <f t="shared" si="5"/>
        <v>1.6262454371307562</v>
      </c>
      <c r="M14" s="1">
        <f t="shared" si="6"/>
        <v>0.13384231901843713</v>
      </c>
      <c r="N14" s="10">
        <f t="shared" si="7"/>
        <v>1.6626879119123978</v>
      </c>
      <c r="O14" s="1">
        <f t="shared" si="8"/>
        <v>0.13575869053712691</v>
      </c>
      <c r="P14" s="4">
        <f t="shared" si="9"/>
        <v>0.13886677286907839</v>
      </c>
      <c r="Q14" s="1">
        <f t="shared" si="10"/>
        <v>8.316588272185637</v>
      </c>
      <c r="R14" s="10">
        <f t="shared" si="11"/>
        <v>1.6697564953829749</v>
      </c>
      <c r="S14" s="19">
        <v>1.826120314</v>
      </c>
      <c r="T14" s="17">
        <v>13.58333333</v>
      </c>
      <c r="U14" s="30">
        <f t="shared" si="12"/>
        <v>1.7363705298457435</v>
      </c>
      <c r="V14" s="30">
        <f t="shared" si="13"/>
        <v>3.8363951309797044</v>
      </c>
    </row>
    <row r="15" spans="1:22" x14ac:dyDescent="0.25">
      <c r="A15" s="4">
        <v>1.55</v>
      </c>
      <c r="B15" s="1">
        <v>1.5</v>
      </c>
      <c r="C15" s="10">
        <v>1.5</v>
      </c>
      <c r="D15" s="4">
        <v>1.56</v>
      </c>
      <c r="E15" s="1">
        <v>1.47</v>
      </c>
      <c r="F15" s="10">
        <v>1.47</v>
      </c>
      <c r="G15" s="1">
        <v>1.45</v>
      </c>
      <c r="H15" s="1">
        <v>1.5</v>
      </c>
      <c r="I15" s="10">
        <v>1.5</v>
      </c>
      <c r="J15" s="4">
        <f t="shared" si="3"/>
        <v>1.8260507298990669</v>
      </c>
      <c r="K15" s="1">
        <f t="shared" si="4"/>
        <v>0.14451326206513049</v>
      </c>
      <c r="L15" s="1">
        <f t="shared" si="5"/>
        <v>1.7650535669369676</v>
      </c>
      <c r="M15" s="1">
        <f t="shared" si="6"/>
        <v>0.14131512074377608</v>
      </c>
      <c r="N15" s="10">
        <f t="shared" si="7"/>
        <v>1.7082410053894499</v>
      </c>
      <c r="O15" s="1">
        <f t="shared" si="8"/>
        <v>0.13823007675795088</v>
      </c>
      <c r="P15" s="4">
        <f t="shared" si="9"/>
        <v>0.14451326206513049</v>
      </c>
      <c r="Q15" s="1">
        <f t="shared" si="10"/>
        <v>8.1810065483621983</v>
      </c>
      <c r="R15" s="10">
        <f t="shared" si="11"/>
        <v>1.7664484340751614</v>
      </c>
      <c r="S15" s="19">
        <v>1.879522586</v>
      </c>
      <c r="T15" s="17">
        <v>21.666666670000001</v>
      </c>
      <c r="U15" s="30">
        <f t="shared" si="12"/>
        <v>1.7872298365124102</v>
      </c>
      <c r="V15" s="30">
        <f t="shared" si="13"/>
        <v>1.1627716823372591</v>
      </c>
    </row>
    <row r="16" spans="1:22" x14ac:dyDescent="0.25">
      <c r="A16" s="4">
        <v>1.66</v>
      </c>
      <c r="B16" s="1">
        <v>1.42</v>
      </c>
      <c r="C16" s="10">
        <v>1.42</v>
      </c>
      <c r="D16" s="4">
        <v>1.62</v>
      </c>
      <c r="E16" s="1">
        <v>1.46</v>
      </c>
      <c r="F16" s="10">
        <v>1.46</v>
      </c>
      <c r="G16" s="1">
        <v>1.68</v>
      </c>
      <c r="H16" s="1">
        <v>1.43</v>
      </c>
      <c r="I16" s="10">
        <v>1.42</v>
      </c>
      <c r="J16" s="4">
        <f t="shared" si="3"/>
        <v>1.75260238805324</v>
      </c>
      <c r="K16" s="1">
        <f t="shared" si="4"/>
        <v>0.14096954555188118</v>
      </c>
      <c r="L16" s="1">
        <f t="shared" si="5"/>
        <v>1.8080871031058408</v>
      </c>
      <c r="M16" s="1">
        <f t="shared" si="6"/>
        <v>0.14371739192622107</v>
      </c>
      <c r="N16" s="10">
        <f t="shared" si="7"/>
        <v>1.7862090518662412</v>
      </c>
      <c r="O16" s="1">
        <f t="shared" si="8"/>
        <v>0.14280842445178241</v>
      </c>
      <c r="P16" s="4">
        <f t="shared" si="9"/>
        <v>0.14371739192622107</v>
      </c>
      <c r="Q16" s="1">
        <f t="shared" si="10"/>
        <v>8.0635937321285613</v>
      </c>
      <c r="R16" s="10">
        <f t="shared" si="11"/>
        <v>1.7822995143417739</v>
      </c>
      <c r="S16" s="19">
        <v>1.8998627050000001</v>
      </c>
      <c r="T16" s="17">
        <v>23.666666670000001</v>
      </c>
      <c r="U16" s="30">
        <f t="shared" si="12"/>
        <v>1.8066013784171722</v>
      </c>
      <c r="V16" s="30">
        <f t="shared" si="13"/>
        <v>1.3451702387546045</v>
      </c>
    </row>
    <row r="17" spans="1:22" ht="15.75" thickBot="1" x14ac:dyDescent="0.3">
      <c r="A17" s="6">
        <v>1.66</v>
      </c>
      <c r="B17" s="7">
        <v>1.42</v>
      </c>
      <c r="C17" s="11">
        <v>1.42</v>
      </c>
      <c r="D17" s="6">
        <v>1.62</v>
      </c>
      <c r="E17" s="7">
        <v>1.46</v>
      </c>
      <c r="F17" s="11">
        <v>1.46</v>
      </c>
      <c r="G17" s="7">
        <v>1.68</v>
      </c>
      <c r="H17" s="7">
        <v>1.43</v>
      </c>
      <c r="I17" s="11">
        <v>1.42</v>
      </c>
      <c r="J17" s="6">
        <f t="shared" ref="J17" si="14">4/3*PI()*A17*B17*C17/8</f>
        <v>1.75260238805324</v>
      </c>
      <c r="K17" s="7">
        <f t="shared" si="4"/>
        <v>0.14096954555188118</v>
      </c>
      <c r="L17" s="7">
        <f t="shared" ref="L17" si="15">4/3*PI()*D17*E17*F17/8</f>
        <v>1.8080871031058408</v>
      </c>
      <c r="M17" s="7">
        <f t="shared" si="6"/>
        <v>0.14371739192622107</v>
      </c>
      <c r="N17" s="11">
        <f t="shared" si="7"/>
        <v>1.7862090518662412</v>
      </c>
      <c r="O17" s="7">
        <f t="shared" si="8"/>
        <v>0.14280842445178241</v>
      </c>
      <c r="P17" s="6">
        <f t="shared" si="9"/>
        <v>0.14371739192622107</v>
      </c>
      <c r="Q17" s="7">
        <f t="shared" si="10"/>
        <v>8.0635937321285613</v>
      </c>
      <c r="R17" s="11">
        <f t="shared" si="11"/>
        <v>1.7822995143417739</v>
      </c>
      <c r="S17" s="21">
        <v>1.8998627050000001</v>
      </c>
      <c r="T17" s="28">
        <v>30</v>
      </c>
      <c r="U17" s="31">
        <f t="shared" si="12"/>
        <v>1.8066013784171722</v>
      </c>
      <c r="V17" s="31">
        <f t="shared" si="13"/>
        <v>1.3451702387546045</v>
      </c>
    </row>
  </sheetData>
  <mergeCells count="3">
    <mergeCell ref="A1:C1"/>
    <mergeCell ref="D1:F1"/>
    <mergeCell ref="G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opLeftCell="F1" workbookViewId="0">
      <selection activeCell="V1" sqref="V1"/>
    </sheetView>
  </sheetViews>
  <sheetFormatPr baseColWidth="10" defaultRowHeight="15" x14ac:dyDescent="0.25"/>
  <cols>
    <col min="22" max="22" width="15" bestFit="1" customWidth="1"/>
  </cols>
  <sheetData>
    <row r="1" spans="1:22" ht="15.75" thickBot="1" x14ac:dyDescent="0.3">
      <c r="A1" s="59" t="s">
        <v>6</v>
      </c>
      <c r="B1" s="60"/>
      <c r="C1" s="61"/>
      <c r="D1" s="62" t="s">
        <v>7</v>
      </c>
      <c r="E1" s="60"/>
      <c r="F1" s="61"/>
      <c r="G1" s="62" t="s">
        <v>8</v>
      </c>
      <c r="H1" s="60"/>
      <c r="I1" s="60"/>
      <c r="J1" s="26" t="s">
        <v>0</v>
      </c>
      <c r="K1" s="24" t="s">
        <v>13</v>
      </c>
      <c r="L1" s="36" t="s">
        <v>1</v>
      </c>
      <c r="M1" s="24" t="s">
        <v>14</v>
      </c>
      <c r="N1" s="36" t="s">
        <v>2</v>
      </c>
      <c r="O1" s="25" t="s">
        <v>15</v>
      </c>
      <c r="P1" s="12" t="s">
        <v>16</v>
      </c>
      <c r="Q1" s="36" t="s">
        <v>9</v>
      </c>
      <c r="R1" s="24" t="s">
        <v>17</v>
      </c>
      <c r="S1" s="27" t="s">
        <v>10</v>
      </c>
      <c r="T1" s="33" t="s">
        <v>5</v>
      </c>
      <c r="U1" s="3" t="s">
        <v>3</v>
      </c>
      <c r="V1" s="74" t="s">
        <v>18</v>
      </c>
    </row>
    <row r="2" spans="1:22" x14ac:dyDescent="0.25">
      <c r="A2" s="19">
        <v>0.28000000000000003</v>
      </c>
      <c r="B2" s="17">
        <v>0.28000000000000003</v>
      </c>
      <c r="C2" s="32">
        <v>0.28000000000000003</v>
      </c>
      <c r="D2" s="16">
        <v>0.28000000000000003</v>
      </c>
      <c r="E2" s="17">
        <v>0.28000000000000003</v>
      </c>
      <c r="F2" s="32">
        <v>0.28000000000000003</v>
      </c>
      <c r="G2" s="16">
        <v>0.28000000000000003</v>
      </c>
      <c r="H2" s="17">
        <v>0.28000000000000003</v>
      </c>
      <c r="I2" s="17">
        <v>0.28000000000000003</v>
      </c>
      <c r="J2" s="40">
        <f t="shared" ref="J2" si="0">4/3*PI()*A2*B2*C2/8</f>
        <v>1.149404032193386E-2</v>
      </c>
      <c r="K2" s="41">
        <f>4/3*PI()*1/200*(A2*B2+B2*C2+A2*C2)</f>
        <v>4.9260172808287955E-3</v>
      </c>
      <c r="L2" s="41">
        <f t="shared" ref="L2" si="1">4/3*PI()*D2*E2*F2/8</f>
        <v>1.149404032193386E-2</v>
      </c>
      <c r="M2" s="41">
        <f>4/3*PI()*1/200*(D2*E2+E2*F2+D2*F2)</f>
        <v>4.9260172808287955E-3</v>
      </c>
      <c r="N2" s="44">
        <f t="shared" ref="N2" si="2">4/3*PI()*G2*H2*I2/8</f>
        <v>1.149404032193386E-2</v>
      </c>
      <c r="O2" s="44">
        <f>4/3*PI()*1/200*(G2*H2+H2*I2+G2*I2)</f>
        <v>4.9260172808287955E-3</v>
      </c>
      <c r="P2" s="2">
        <f>MAX(K2,M2,O2)</f>
        <v>4.9260172808287955E-3</v>
      </c>
      <c r="Q2">
        <f t="shared" ref="Q2:Q16" si="3">P2/R2*100</f>
        <v>42.857142857142847</v>
      </c>
      <c r="R2">
        <f>AVERAGE(J2,L2,N2)</f>
        <v>1.149404032193386E-2</v>
      </c>
      <c r="S2" s="20">
        <v>1.4999999999999999E-2</v>
      </c>
      <c r="T2" s="19">
        <v>0</v>
      </c>
      <c r="U2" s="29">
        <f>(S2-$S$2)/1.1+$N$2</f>
        <v>1.149404032193386E-2</v>
      </c>
      <c r="V2" s="30">
        <f>ABS(U2-R2)/MAX(R2,U2)*100</f>
        <v>0</v>
      </c>
    </row>
    <row r="3" spans="1:22" x14ac:dyDescent="0.25">
      <c r="A3" s="19">
        <v>0.7</v>
      </c>
      <c r="B3" s="17">
        <v>0.7</v>
      </c>
      <c r="C3" s="32">
        <v>0.7</v>
      </c>
      <c r="D3" s="16">
        <v>0.73</v>
      </c>
      <c r="E3" s="17">
        <v>0.73</v>
      </c>
      <c r="F3" s="32">
        <v>0.73</v>
      </c>
      <c r="G3" s="16">
        <v>0.63</v>
      </c>
      <c r="H3" s="17">
        <v>0.63</v>
      </c>
      <c r="I3" s="17">
        <v>0.63</v>
      </c>
      <c r="J3" s="19">
        <f t="shared" ref="J3:J16" si="4">4/3*PI()*A3*B3*C3/8</f>
        <v>0.17959438003021647</v>
      </c>
      <c r="K3" s="17">
        <f t="shared" ref="K3:K16" si="5">4/3*PI()*1/200*(A3*B3+B3*C3+A3*C3)</f>
        <v>3.0787608005179965E-2</v>
      </c>
      <c r="L3" s="17">
        <f t="shared" ref="L3:L16" si="6">4/3*PI()*D3*E3*F3/8</f>
        <v>0.20368882488692341</v>
      </c>
      <c r="M3" s="17">
        <f t="shared" ref="M3:M16" si="7">4/3*PI()*1/200*(D3*E3+E3*F3+D3*F3)</f>
        <v>3.3483094501960006E-2</v>
      </c>
      <c r="N3" s="17">
        <f t="shared" ref="N3:N16" si="8">4/3*PI()*G3*H3*I3/8</f>
        <v>0.13092430304202782</v>
      </c>
      <c r="O3" s="20">
        <f t="shared" ref="O3:O16" si="9">4/3*PI()*1/200*(G3*H3+H3*I3+G3*I3)</f>
        <v>2.4937962484195778E-2</v>
      </c>
      <c r="P3">
        <f t="shared" ref="P3:P16" si="10">MAX(K3,M3,O3)</f>
        <v>3.3483094501960006E-2</v>
      </c>
      <c r="Q3">
        <f t="shared" si="3"/>
        <v>19.534775737630131</v>
      </c>
      <c r="R3">
        <f t="shared" ref="R3:R16" si="11">AVERAGE(J3,L3,N3)</f>
        <v>0.1714025026530559</v>
      </c>
      <c r="S3" s="20">
        <v>0.13062525346832801</v>
      </c>
      <c r="T3" s="19">
        <v>1</v>
      </c>
      <c r="U3" s="30">
        <f t="shared" ref="U3:U16" si="12">(S3-$S$2)/1.1+$N$2</f>
        <v>0.11660790711132296</v>
      </c>
      <c r="V3" s="30">
        <f t="shared" ref="V3:V16" si="13">ABS(U3-R3)/MAX(R3,U3)*100</f>
        <v>31.968375428359604</v>
      </c>
    </row>
    <row r="4" spans="1:22" x14ac:dyDescent="0.25">
      <c r="A4" s="19">
        <v>0.79</v>
      </c>
      <c r="B4" s="17">
        <v>0.8</v>
      </c>
      <c r="C4" s="32">
        <v>0.81</v>
      </c>
      <c r="D4" s="16">
        <v>0.7</v>
      </c>
      <c r="E4" s="17">
        <v>0.75</v>
      </c>
      <c r="F4" s="32">
        <v>1</v>
      </c>
      <c r="G4" s="16">
        <v>0.81</v>
      </c>
      <c r="H4" s="17">
        <v>0.81</v>
      </c>
      <c r="I4" s="17">
        <v>0.81</v>
      </c>
      <c r="J4" s="19">
        <f t="shared" si="4"/>
        <v>0.2680406852042812</v>
      </c>
      <c r="K4" s="17">
        <f t="shared" si="5"/>
        <v>4.0210291570846962E-2</v>
      </c>
      <c r="L4" s="17">
        <f t="shared" si="6"/>
        <v>0.2748893571891069</v>
      </c>
      <c r="M4" s="17">
        <f t="shared" si="7"/>
        <v>4.1364303272265604E-2</v>
      </c>
      <c r="N4" s="17">
        <f t="shared" si="8"/>
        <v>0.27826185690273558</v>
      </c>
      <c r="O4" s="20">
        <f t="shared" si="9"/>
        <v>4.1223978800405271E-2</v>
      </c>
      <c r="P4">
        <f t="shared" si="10"/>
        <v>4.1364303272265604E-2</v>
      </c>
      <c r="Q4">
        <f t="shared" si="3"/>
        <v>15.111316846057759</v>
      </c>
      <c r="R4">
        <f t="shared" si="11"/>
        <v>0.27373063309870788</v>
      </c>
      <c r="S4" s="20">
        <v>0.25034732428024198</v>
      </c>
      <c r="T4" s="19">
        <v>2</v>
      </c>
      <c r="U4" s="30">
        <f t="shared" si="12"/>
        <v>0.225446153303972</v>
      </c>
      <c r="V4" s="30">
        <f t="shared" si="13"/>
        <v>17.639414064893639</v>
      </c>
    </row>
    <row r="5" spans="1:22" x14ac:dyDescent="0.25">
      <c r="A5" s="19">
        <v>0.85</v>
      </c>
      <c r="B5" s="17">
        <v>0.96</v>
      </c>
      <c r="C5" s="32">
        <v>0.75</v>
      </c>
      <c r="D5" s="16">
        <v>0.91</v>
      </c>
      <c r="E5" s="17">
        <v>0.96</v>
      </c>
      <c r="F5" s="32">
        <v>0.7</v>
      </c>
      <c r="G5" s="16">
        <v>1</v>
      </c>
      <c r="H5" s="17">
        <v>0.75</v>
      </c>
      <c r="I5" s="17">
        <v>0.84</v>
      </c>
      <c r="J5" s="19">
        <f t="shared" si="4"/>
        <v>0.32044245066615884</v>
      </c>
      <c r="K5" s="17">
        <f t="shared" si="5"/>
        <v>4.5521677550516094E-2</v>
      </c>
      <c r="L5" s="17">
        <f t="shared" si="6"/>
        <v>0.32019112325387172</v>
      </c>
      <c r="M5" s="17">
        <f t="shared" si="7"/>
        <v>4.5712267504833877E-2</v>
      </c>
      <c r="N5" s="17">
        <f t="shared" si="8"/>
        <v>0.32986722862692824</v>
      </c>
      <c r="O5" s="20">
        <f t="shared" si="9"/>
        <v>4.6495571273128929E-2</v>
      </c>
      <c r="P5">
        <f t="shared" si="10"/>
        <v>4.6495571273128929E-2</v>
      </c>
      <c r="Q5">
        <f t="shared" si="3"/>
        <v>14.37265311407484</v>
      </c>
      <c r="R5">
        <f t="shared" si="11"/>
        <v>0.32350026751565292</v>
      </c>
      <c r="S5" s="20">
        <v>0.373242123298546</v>
      </c>
      <c r="T5" s="19">
        <v>3</v>
      </c>
      <c r="U5" s="30">
        <f t="shared" si="12"/>
        <v>0.33716869786606657</v>
      </c>
      <c r="V5" s="30">
        <f t="shared" si="13"/>
        <v>4.0538847280073309</v>
      </c>
    </row>
    <row r="6" spans="1:22" x14ac:dyDescent="0.25">
      <c r="A6" s="19">
        <v>1</v>
      </c>
      <c r="B6" s="17">
        <v>1.04</v>
      </c>
      <c r="C6" s="32">
        <v>0.8</v>
      </c>
      <c r="D6" s="16">
        <v>0.82</v>
      </c>
      <c r="E6" s="17">
        <v>0.85</v>
      </c>
      <c r="F6" s="32">
        <v>1.2</v>
      </c>
      <c r="G6" s="16">
        <v>1.03</v>
      </c>
      <c r="H6" s="17">
        <v>1.0900000000000001</v>
      </c>
      <c r="I6" s="17">
        <v>0.93</v>
      </c>
      <c r="J6" s="19">
        <f t="shared" si="4"/>
        <v>0.43563418129778464</v>
      </c>
      <c r="K6" s="17">
        <f t="shared" si="5"/>
        <v>5.5962237135946183E-2</v>
      </c>
      <c r="L6" s="17">
        <f t="shared" si="6"/>
        <v>0.43793801591041709</v>
      </c>
      <c r="M6" s="17">
        <f t="shared" si="7"/>
        <v>5.6569611715640206E-2</v>
      </c>
      <c r="N6" s="17">
        <f t="shared" si="8"/>
        <v>0.54669524118871549</v>
      </c>
      <c r="O6" s="20">
        <f t="shared" si="9"/>
        <v>6.480686765335264E-2</v>
      </c>
      <c r="P6">
        <f t="shared" si="10"/>
        <v>6.480686765335264E-2</v>
      </c>
      <c r="Q6">
        <f t="shared" si="3"/>
        <v>13.689013611373371</v>
      </c>
      <c r="R6">
        <f t="shared" si="11"/>
        <v>0.47342247946563915</v>
      </c>
      <c r="S6" s="20">
        <v>0.49015162893588698</v>
      </c>
      <c r="T6" s="19">
        <v>4</v>
      </c>
      <c r="U6" s="30">
        <f t="shared" si="12"/>
        <v>0.44345006662728559</v>
      </c>
      <c r="V6" s="30">
        <f t="shared" si="13"/>
        <v>6.3310075330989743</v>
      </c>
    </row>
    <row r="7" spans="1:22" x14ac:dyDescent="0.25">
      <c r="A7" s="19">
        <v>1.1399999999999999</v>
      </c>
      <c r="B7" s="17">
        <v>1.1399999999999999</v>
      </c>
      <c r="C7" s="32">
        <v>0.88</v>
      </c>
      <c r="D7" s="16">
        <v>1.17</v>
      </c>
      <c r="E7" s="17">
        <v>1.07</v>
      </c>
      <c r="F7" s="32">
        <v>0.86</v>
      </c>
      <c r="G7" s="16">
        <v>1.3</v>
      </c>
      <c r="H7" s="17">
        <v>0.85</v>
      </c>
      <c r="I7" s="17">
        <v>0.94</v>
      </c>
      <c r="J7" s="19">
        <f t="shared" si="4"/>
        <v>0.59881269251544311</v>
      </c>
      <c r="K7" s="17">
        <f t="shared" si="5"/>
        <v>6.9240702085119024E-2</v>
      </c>
      <c r="L7" s="17">
        <f t="shared" si="6"/>
        <v>0.56372424416749878</v>
      </c>
      <c r="M7" s="17">
        <f t="shared" si="7"/>
        <v>6.6566159539362929E-2</v>
      </c>
      <c r="N7" s="17">
        <f t="shared" si="8"/>
        <v>0.54386204821395301</v>
      </c>
      <c r="O7" s="20">
        <f t="shared" si="9"/>
        <v>6.5470790900811288E-2</v>
      </c>
      <c r="P7">
        <f t="shared" si="10"/>
        <v>6.9240702085119024E-2</v>
      </c>
      <c r="Q7">
        <f t="shared" si="3"/>
        <v>12.173126454825464</v>
      </c>
      <c r="R7">
        <f t="shared" si="11"/>
        <v>0.56879966163229823</v>
      </c>
      <c r="S7" s="20">
        <v>0.60669157707207</v>
      </c>
      <c r="T7" s="19">
        <v>5</v>
      </c>
      <c r="U7" s="30">
        <f t="shared" si="12"/>
        <v>0.54939547402381572</v>
      </c>
      <c r="V7" s="30">
        <f t="shared" si="13"/>
        <v>3.4114274176601711</v>
      </c>
    </row>
    <row r="8" spans="1:22" x14ac:dyDescent="0.25">
      <c r="A8" s="19">
        <v>1.33</v>
      </c>
      <c r="B8" s="17">
        <v>1</v>
      </c>
      <c r="C8" s="32">
        <v>1.03</v>
      </c>
      <c r="D8" s="16">
        <v>1.29</v>
      </c>
      <c r="E8" s="17">
        <v>1.24</v>
      </c>
      <c r="F8" s="32">
        <v>0.92</v>
      </c>
      <c r="G8" s="16">
        <v>1.1000000000000001</v>
      </c>
      <c r="H8" s="17">
        <v>1.22</v>
      </c>
      <c r="I8" s="17">
        <v>1.1100000000000001</v>
      </c>
      <c r="J8" s="19">
        <f t="shared" si="4"/>
        <v>0.71727796269210964</v>
      </c>
      <c r="K8" s="17">
        <f t="shared" si="5"/>
        <v>7.8118842924163809E-2</v>
      </c>
      <c r="L8" s="17">
        <f t="shared" si="6"/>
        <v>0.77054471333127572</v>
      </c>
      <c r="M8" s="17">
        <f t="shared" si="7"/>
        <v>8.2251084461185564E-2</v>
      </c>
      <c r="N8" s="17">
        <f t="shared" si="8"/>
        <v>0.77996320810673803</v>
      </c>
      <c r="O8" s="20">
        <f t="shared" si="9"/>
        <v>8.2041644950946249E-2</v>
      </c>
      <c r="P8">
        <f t="shared" si="10"/>
        <v>8.2251084461185564E-2</v>
      </c>
      <c r="Q8">
        <f t="shared" si="3"/>
        <v>10.880800304399383</v>
      </c>
      <c r="R8">
        <f t="shared" si="11"/>
        <v>0.75592862804337446</v>
      </c>
      <c r="S8" s="20">
        <v>0.84899847184190602</v>
      </c>
      <c r="T8" s="19">
        <f>T7+2+22/60</f>
        <v>7.3666666666666663</v>
      </c>
      <c r="U8" s="30">
        <f t="shared" si="12"/>
        <v>0.76967446926912109</v>
      </c>
      <c r="V8" s="30">
        <f t="shared" si="13"/>
        <v>1.7859292174261157</v>
      </c>
    </row>
    <row r="9" spans="1:22" x14ac:dyDescent="0.25">
      <c r="A9" s="19">
        <v>1.21</v>
      </c>
      <c r="B9" s="17">
        <v>1.21</v>
      </c>
      <c r="C9" s="32">
        <v>1.07</v>
      </c>
      <c r="D9" s="16">
        <v>1.28</v>
      </c>
      <c r="E9" s="17">
        <v>1.28</v>
      </c>
      <c r="F9" s="32">
        <v>1.04</v>
      </c>
      <c r="G9" s="16">
        <v>1.36</v>
      </c>
      <c r="H9" s="17">
        <v>1.1399999999999999</v>
      </c>
      <c r="I9" s="17">
        <v>1.01</v>
      </c>
      <c r="J9" s="19">
        <f t="shared" si="4"/>
        <v>0.82026303506821208</v>
      </c>
      <c r="K9" s="17">
        <f t="shared" si="5"/>
        <v>8.4896305475508166E-2</v>
      </c>
      <c r="L9" s="17">
        <f t="shared" si="6"/>
        <v>0.89217880329786292</v>
      </c>
      <c r="M9" s="17">
        <f t="shared" si="7"/>
        <v>9.0075744563726551E-2</v>
      </c>
      <c r="N9" s="17">
        <f t="shared" si="8"/>
        <v>0.81990541710447851</v>
      </c>
      <c r="O9" s="20">
        <f t="shared" si="9"/>
        <v>8.5354978002932277E-2</v>
      </c>
      <c r="P9">
        <f t="shared" si="10"/>
        <v>9.0075744563726551E-2</v>
      </c>
      <c r="Q9">
        <f t="shared" si="3"/>
        <v>10.671018088353243</v>
      </c>
      <c r="R9">
        <f t="shared" si="11"/>
        <v>0.84411575182351772</v>
      </c>
      <c r="S9" s="20">
        <v>1.09024991810037</v>
      </c>
      <c r="T9" s="19">
        <f>21-11-5/60</f>
        <v>9.9166666666666661</v>
      </c>
      <c r="U9" s="30">
        <f t="shared" si="12"/>
        <v>0.98899396586772481</v>
      </c>
      <c r="V9" s="30">
        <f t="shared" si="13"/>
        <v>14.649049341478404</v>
      </c>
    </row>
    <row r="10" spans="1:22" x14ac:dyDescent="0.25">
      <c r="A10" s="19">
        <v>1.48</v>
      </c>
      <c r="B10" s="17">
        <v>1.26</v>
      </c>
      <c r="C10" s="32">
        <v>1.1100000000000001</v>
      </c>
      <c r="D10" s="16">
        <v>1.36</v>
      </c>
      <c r="E10" s="17">
        <v>1.36</v>
      </c>
      <c r="F10" s="32">
        <v>1.2</v>
      </c>
      <c r="G10" s="16">
        <v>1.42</v>
      </c>
      <c r="H10" s="17">
        <v>1.26</v>
      </c>
      <c r="I10" s="17">
        <v>1.1000000000000001</v>
      </c>
      <c r="J10" s="19">
        <f t="shared" si="4"/>
        <v>1.0838117663766358</v>
      </c>
      <c r="K10" s="17">
        <f t="shared" si="5"/>
        <v>0.10275521251361494</v>
      </c>
      <c r="L10" s="17">
        <f t="shared" si="6"/>
        <v>1.1621379544159363</v>
      </c>
      <c r="M10" s="17">
        <f t="shared" si="7"/>
        <v>0.10709898795597843</v>
      </c>
      <c r="N10" s="17">
        <f t="shared" si="8"/>
        <v>1.030505222230524</v>
      </c>
      <c r="O10" s="20">
        <f t="shared" si="9"/>
        <v>9.9215684790570455E-2</v>
      </c>
      <c r="P10">
        <f t="shared" si="10"/>
        <v>0.10709898795597843</v>
      </c>
      <c r="Q10">
        <f t="shared" si="3"/>
        <v>9.8062378227451923</v>
      </c>
      <c r="R10">
        <f t="shared" si="11"/>
        <v>1.0921516476743653</v>
      </c>
      <c r="S10" s="20">
        <v>1.31276214340646</v>
      </c>
      <c r="T10" s="19">
        <f>23+30/60-11-5/60</f>
        <v>12.416666666666666</v>
      </c>
      <c r="U10" s="30">
        <f t="shared" si="12"/>
        <v>1.1912778070550794</v>
      </c>
      <c r="V10" s="30">
        <f t="shared" si="13"/>
        <v>8.3209943804594726</v>
      </c>
    </row>
    <row r="11" spans="1:22" x14ac:dyDescent="0.25">
      <c r="A11" s="19">
        <v>1.43</v>
      </c>
      <c r="B11" s="17">
        <v>1.43</v>
      </c>
      <c r="C11" s="32">
        <v>1.43</v>
      </c>
      <c r="D11" s="16">
        <v>1.58</v>
      </c>
      <c r="E11" s="17">
        <v>1.36</v>
      </c>
      <c r="F11" s="32">
        <v>1.36</v>
      </c>
      <c r="G11" s="16">
        <v>1.48</v>
      </c>
      <c r="H11" s="17">
        <v>1.37</v>
      </c>
      <c r="I11" s="17">
        <v>1.37</v>
      </c>
      <c r="J11" s="19">
        <f t="shared" si="4"/>
        <v>1.5311112047959745</v>
      </c>
      <c r="K11" s="17">
        <f t="shared" si="5"/>
        <v>0.12848485634651532</v>
      </c>
      <c r="L11" s="17">
        <f t="shared" si="6"/>
        <v>1.5301483066476496</v>
      </c>
      <c r="M11" s="17">
        <f t="shared" si="7"/>
        <v>0.12874665573431449</v>
      </c>
      <c r="N11" s="17">
        <f t="shared" si="8"/>
        <v>1.4544589620422619</v>
      </c>
      <c r="O11" s="20">
        <f t="shared" si="9"/>
        <v>0.12424161186906674</v>
      </c>
      <c r="P11">
        <f t="shared" si="10"/>
        <v>0.12874665573431449</v>
      </c>
      <c r="Q11">
        <f t="shared" si="3"/>
        <v>8.5532339863691167</v>
      </c>
      <c r="R11">
        <f t="shared" si="11"/>
        <v>1.505239491161962</v>
      </c>
      <c r="S11" s="20">
        <v>1.7175302560485499</v>
      </c>
      <c r="T11" s="19">
        <f>24+6+50/60-11-5/60</f>
        <v>19.75</v>
      </c>
      <c r="U11" s="30">
        <f t="shared" si="12"/>
        <v>1.5592488185478883</v>
      </c>
      <c r="V11" s="30">
        <f t="shared" si="13"/>
        <v>3.4638042846955401</v>
      </c>
    </row>
    <row r="12" spans="1:22" x14ac:dyDescent="0.25">
      <c r="A12" s="19">
        <v>1.48</v>
      </c>
      <c r="B12" s="17">
        <v>1.45</v>
      </c>
      <c r="C12" s="32">
        <v>1.5</v>
      </c>
      <c r="D12" s="16">
        <v>1.58</v>
      </c>
      <c r="E12" s="17">
        <v>1.38</v>
      </c>
      <c r="F12" s="32">
        <v>1.4</v>
      </c>
      <c r="G12" s="16">
        <v>1.56</v>
      </c>
      <c r="H12" s="17">
        <v>1.56</v>
      </c>
      <c r="I12" s="17">
        <v>1.31</v>
      </c>
      <c r="J12" s="19">
        <f t="shared" si="4"/>
        <v>1.6854644586509238</v>
      </c>
      <c r="K12" s="17">
        <f t="shared" si="5"/>
        <v>0.13699438364753888</v>
      </c>
      <c r="L12" s="17">
        <f t="shared" si="6"/>
        <v>1.5983166784403426</v>
      </c>
      <c r="M12" s="17">
        <f t="shared" si="7"/>
        <v>0.13245792385575525</v>
      </c>
      <c r="N12" s="17">
        <f t="shared" si="8"/>
        <v>1.6692412741877862</v>
      </c>
      <c r="O12" s="20">
        <f t="shared" si="9"/>
        <v>0.13657131583685547</v>
      </c>
      <c r="P12">
        <f t="shared" si="10"/>
        <v>0.13699438364753888</v>
      </c>
      <c r="Q12">
        <f t="shared" si="3"/>
        <v>8.2976234875643478</v>
      </c>
      <c r="R12">
        <f t="shared" si="11"/>
        <v>1.6510074704263509</v>
      </c>
      <c r="S12" s="20">
        <v>1.8423011523033901</v>
      </c>
      <c r="T12" s="19">
        <f>24+11+3/60-11-5/60</f>
        <v>23.966666666666665</v>
      </c>
      <c r="U12" s="30">
        <f t="shared" si="12"/>
        <v>1.6726769060522886</v>
      </c>
      <c r="V12" s="30">
        <f t="shared" si="13"/>
        <v>1.2954943986809793</v>
      </c>
    </row>
    <row r="13" spans="1:22" x14ac:dyDescent="0.25">
      <c r="A13" s="19">
        <v>1.48</v>
      </c>
      <c r="B13" s="17">
        <v>1.55</v>
      </c>
      <c r="C13" s="32">
        <v>1.35</v>
      </c>
      <c r="D13" s="16">
        <v>1.53</v>
      </c>
      <c r="E13" s="17">
        <v>1.46</v>
      </c>
      <c r="F13" s="32">
        <v>1.46</v>
      </c>
      <c r="G13" s="16">
        <v>1.6</v>
      </c>
      <c r="H13" s="17">
        <v>1.45</v>
      </c>
      <c r="I13" s="17">
        <v>1.45</v>
      </c>
      <c r="J13" s="19">
        <f t="shared" si="4"/>
        <v>1.621533048150372</v>
      </c>
      <c r="K13" s="17">
        <f t="shared" si="5"/>
        <v>0.13371665531229354</v>
      </c>
      <c r="L13" s="17">
        <f t="shared" si="6"/>
        <v>1.7076378195999606</v>
      </c>
      <c r="M13" s="17">
        <f t="shared" si="7"/>
        <v>0.13821332159713173</v>
      </c>
      <c r="N13" s="17">
        <f t="shared" si="8"/>
        <v>1.7613862811126773</v>
      </c>
      <c r="O13" s="20">
        <f t="shared" si="9"/>
        <v>0.14121458977886117</v>
      </c>
      <c r="P13">
        <f t="shared" si="10"/>
        <v>0.14121458977886117</v>
      </c>
      <c r="Q13">
        <f t="shared" si="3"/>
        <v>8.3221493629868313</v>
      </c>
      <c r="R13">
        <f t="shared" si="11"/>
        <v>1.6968523829543365</v>
      </c>
      <c r="S13" s="20">
        <v>1.9078748639985099</v>
      </c>
      <c r="T13" s="19">
        <f>24+14+44/60-11-5/60</f>
        <v>27.650000000000002</v>
      </c>
      <c r="U13" s="30">
        <f t="shared" si="12"/>
        <v>1.7322893712296701</v>
      </c>
      <c r="V13" s="30">
        <f t="shared" si="13"/>
        <v>2.0456737115565486</v>
      </c>
    </row>
    <row r="14" spans="1:22" x14ac:dyDescent="0.25">
      <c r="A14" s="19">
        <v>1.51</v>
      </c>
      <c r="B14" s="17">
        <v>1.51</v>
      </c>
      <c r="C14" s="32">
        <v>1.51</v>
      </c>
      <c r="D14" s="16">
        <v>1.5</v>
      </c>
      <c r="E14" s="17">
        <v>1.5</v>
      </c>
      <c r="F14" s="32">
        <v>1.5</v>
      </c>
      <c r="G14" s="16">
        <v>1.6</v>
      </c>
      <c r="H14" s="17">
        <v>1.48</v>
      </c>
      <c r="I14" s="17">
        <v>1.48</v>
      </c>
      <c r="J14" s="19">
        <f t="shared" si="4"/>
        <v>1.8027249280449382</v>
      </c>
      <c r="K14" s="17">
        <f t="shared" si="5"/>
        <v>0.14326290818900173</v>
      </c>
      <c r="L14" s="17">
        <f t="shared" si="6"/>
        <v>1.7671458676442586</v>
      </c>
      <c r="M14" s="17">
        <f t="shared" si="7"/>
        <v>0.14137166941154067</v>
      </c>
      <c r="N14" s="17">
        <f t="shared" si="8"/>
        <v>1.8350252129128219</v>
      </c>
      <c r="O14" s="20">
        <f t="shared" si="9"/>
        <v>0.14506618237216226</v>
      </c>
      <c r="P14">
        <f t="shared" si="10"/>
        <v>0.14506618237216226</v>
      </c>
      <c r="Q14">
        <f t="shared" si="3"/>
        <v>8.0519319229057871</v>
      </c>
      <c r="R14">
        <f t="shared" si="11"/>
        <v>1.8016320028673398</v>
      </c>
      <c r="S14" s="20">
        <v>1.9401124515015</v>
      </c>
      <c r="T14" s="19">
        <f>24+19+12/60-11-5/60</f>
        <v>32.116666666666667</v>
      </c>
      <c r="U14" s="30">
        <f t="shared" si="12"/>
        <v>1.7615962689596611</v>
      </c>
      <c r="V14" s="30">
        <f t="shared" si="13"/>
        <v>2.2221926477749538</v>
      </c>
    </row>
    <row r="15" spans="1:22" x14ac:dyDescent="0.25">
      <c r="A15" s="19">
        <v>1.52</v>
      </c>
      <c r="B15" s="17">
        <v>1.52</v>
      </c>
      <c r="C15" s="32">
        <v>1.52</v>
      </c>
      <c r="D15" s="16">
        <v>1.6</v>
      </c>
      <c r="E15" s="17">
        <v>1.49</v>
      </c>
      <c r="F15" s="32">
        <v>1.49</v>
      </c>
      <c r="G15" s="16">
        <v>1.64</v>
      </c>
      <c r="H15" s="17">
        <v>1.43</v>
      </c>
      <c r="I15" s="17">
        <v>1.43</v>
      </c>
      <c r="J15" s="19">
        <f t="shared" si="4"/>
        <v>1.8387783689363106</v>
      </c>
      <c r="K15" s="17">
        <f t="shared" si="5"/>
        <v>0.14516671333707715</v>
      </c>
      <c r="L15" s="17">
        <f t="shared" si="6"/>
        <v>1.859906626729253</v>
      </c>
      <c r="M15" s="17">
        <f t="shared" si="7"/>
        <v>0.14635842415033887</v>
      </c>
      <c r="N15" s="17">
        <f t="shared" si="8"/>
        <v>1.7559597034023762</v>
      </c>
      <c r="O15" s="20">
        <f t="shared" si="9"/>
        <v>0.14106379333148886</v>
      </c>
      <c r="P15">
        <f t="shared" si="10"/>
        <v>0.14635842415033887</v>
      </c>
      <c r="Q15">
        <f t="shared" si="3"/>
        <v>8.0495668677749688</v>
      </c>
      <c r="R15">
        <f t="shared" si="11"/>
        <v>1.8182148996893133</v>
      </c>
      <c r="S15" s="20">
        <v>1.9628327634454601</v>
      </c>
      <c r="T15" s="19">
        <f>24+23+39/60-11-5/60</f>
        <v>36.566666666666663</v>
      </c>
      <c r="U15" s="30">
        <f t="shared" si="12"/>
        <v>1.7822510979996249</v>
      </c>
      <c r="V15" s="30">
        <f t="shared" si="13"/>
        <v>1.9779731040502242</v>
      </c>
    </row>
    <row r="16" spans="1:22" ht="15.75" thickBot="1" x14ac:dyDescent="0.3">
      <c r="A16" s="21">
        <v>1.56</v>
      </c>
      <c r="B16" s="28">
        <v>1.56</v>
      </c>
      <c r="C16" s="34">
        <v>1.4</v>
      </c>
      <c r="D16" s="35">
        <v>1.62</v>
      </c>
      <c r="E16" s="28">
        <v>1.44</v>
      </c>
      <c r="F16" s="34">
        <v>1.44</v>
      </c>
      <c r="G16" s="35">
        <v>1.52</v>
      </c>
      <c r="H16" s="28">
        <v>1.52</v>
      </c>
      <c r="I16" s="28">
        <v>1.52</v>
      </c>
      <c r="J16" s="21">
        <f t="shared" si="4"/>
        <v>1.7839219724144277</v>
      </c>
      <c r="K16" s="28">
        <f t="shared" si="5"/>
        <v>0.14245237728437554</v>
      </c>
      <c r="L16" s="28">
        <f t="shared" si="6"/>
        <v>1.7588897621506245</v>
      </c>
      <c r="M16" s="28">
        <f t="shared" si="7"/>
        <v>0.14114547474048222</v>
      </c>
      <c r="N16" s="28">
        <f t="shared" si="8"/>
        <v>1.8387783689363106</v>
      </c>
      <c r="O16" s="22">
        <f t="shared" si="9"/>
        <v>0.14516671333707715</v>
      </c>
      <c r="P16" s="8">
        <f t="shared" si="10"/>
        <v>0.14516671333707715</v>
      </c>
      <c r="Q16" s="8">
        <f t="shared" si="3"/>
        <v>8.0924063638344901</v>
      </c>
      <c r="R16">
        <f t="shared" si="11"/>
        <v>1.7938633678337876</v>
      </c>
      <c r="S16" s="22">
        <v>1.9669981618021299</v>
      </c>
      <c r="T16" s="21">
        <f>24*2+8+52/60-11-5/60</f>
        <v>45.783333333333331</v>
      </c>
      <c r="U16" s="31">
        <f t="shared" si="12"/>
        <v>1.7860378237784156</v>
      </c>
      <c r="V16" s="31">
        <f t="shared" si="13"/>
        <v>0.43623969337318791</v>
      </c>
    </row>
  </sheetData>
  <mergeCells count="3">
    <mergeCell ref="A1:C1"/>
    <mergeCell ref="D1:F1"/>
    <mergeCell ref="G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G1" workbookViewId="0">
      <selection activeCell="V1" sqref="V1:V2"/>
    </sheetView>
  </sheetViews>
  <sheetFormatPr baseColWidth="10" defaultRowHeight="15" x14ac:dyDescent="0.25"/>
  <cols>
    <col min="22" max="22" width="15" bestFit="1" customWidth="1"/>
  </cols>
  <sheetData>
    <row r="1" spans="1:22" ht="15.75" thickBot="1" x14ac:dyDescent="0.3">
      <c r="A1" s="63" t="s">
        <v>6</v>
      </c>
      <c r="B1" s="64"/>
      <c r="C1" s="65"/>
      <c r="D1" s="66" t="s">
        <v>7</v>
      </c>
      <c r="E1" s="64"/>
      <c r="F1" s="65"/>
      <c r="G1" s="66" t="s">
        <v>8</v>
      </c>
      <c r="H1" s="64"/>
      <c r="I1" s="65"/>
      <c r="J1" s="26" t="s">
        <v>0</v>
      </c>
      <c r="K1" s="24" t="s">
        <v>13</v>
      </c>
      <c r="L1" s="36" t="s">
        <v>1</v>
      </c>
      <c r="M1" s="24" t="s">
        <v>14</v>
      </c>
      <c r="N1" s="36" t="s">
        <v>2</v>
      </c>
      <c r="O1" s="25" t="s">
        <v>15</v>
      </c>
      <c r="P1" s="12" t="s">
        <v>16</v>
      </c>
      <c r="Q1" s="36" t="s">
        <v>9</v>
      </c>
      <c r="R1" s="24" t="s">
        <v>17</v>
      </c>
      <c r="S1" s="36" t="s">
        <v>10</v>
      </c>
      <c r="T1" s="26" t="s">
        <v>5</v>
      </c>
      <c r="U1" s="14" t="s">
        <v>3</v>
      </c>
      <c r="V1" s="74" t="s">
        <v>18</v>
      </c>
    </row>
    <row r="2" spans="1:22" x14ac:dyDescent="0.25">
      <c r="A2" s="40">
        <v>0.28000000000000003</v>
      </c>
      <c r="B2" s="41">
        <v>0.28000000000000003</v>
      </c>
      <c r="C2" s="42">
        <v>0.28000000000000003</v>
      </c>
      <c r="D2" s="43">
        <v>0.28000000000000003</v>
      </c>
      <c r="E2" s="41">
        <v>0.28000000000000003</v>
      </c>
      <c r="F2" s="42">
        <v>0.28000000000000003</v>
      </c>
      <c r="G2" s="43">
        <v>0.28000000000000003</v>
      </c>
      <c r="H2" s="41">
        <v>0.28000000000000003</v>
      </c>
      <c r="I2" s="44">
        <v>0.28000000000000003</v>
      </c>
      <c r="J2" s="40">
        <f t="shared" ref="J2:J20" si="0">4/3*PI()*A2*B2*C2/8</f>
        <v>1.149404032193386E-2</v>
      </c>
      <c r="K2" s="41">
        <f>4/3*PI()*1/200*(A2*B2+B2*C2+A2*C2)</f>
        <v>4.9260172808287955E-3</v>
      </c>
      <c r="L2" s="41">
        <f t="shared" ref="L2:L20" si="1">4/3*PI()*D2*E2*F2/8</f>
        <v>1.149404032193386E-2</v>
      </c>
      <c r="M2" s="41">
        <f>4/3*PI()*1/200*(D2*E2+E2*F2+D2*F2)</f>
        <v>4.9260172808287955E-3</v>
      </c>
      <c r="N2" s="44">
        <f t="shared" ref="N2:N20" si="2">4/3*PI()*G2*H2*I2/8</f>
        <v>1.149404032193386E-2</v>
      </c>
      <c r="O2" s="44">
        <f>4/3*PI()*1/200*(G2*H2+H2*I2+G2*I2)</f>
        <v>4.9260172808287955E-3</v>
      </c>
      <c r="P2" s="23">
        <f>MAX(K2,M2,O2)</f>
        <v>4.9260172808287955E-3</v>
      </c>
      <c r="Q2" s="2">
        <f>P2/R2*100</f>
        <v>42.857142857142847</v>
      </c>
      <c r="R2" s="2">
        <f>AVERAGE(J2,L2,N2)</f>
        <v>1.149404032193386E-2</v>
      </c>
      <c r="S2" s="44">
        <v>1.4999999999999999E-2</v>
      </c>
      <c r="T2" s="40">
        <v>0</v>
      </c>
      <c r="U2" s="3">
        <f>(S2-$S$2)/1.13+$N$2</f>
        <v>1.149404032193386E-2</v>
      </c>
      <c r="V2" s="30">
        <f>ABS(U2-R2)/MAX(R2,U2)*100</f>
        <v>0</v>
      </c>
    </row>
    <row r="3" spans="1:22" x14ac:dyDescent="0.25">
      <c r="A3" s="19">
        <v>0.45</v>
      </c>
      <c r="B3" s="17">
        <v>0.45</v>
      </c>
      <c r="C3" s="32">
        <v>0.45</v>
      </c>
      <c r="D3" s="16">
        <v>0.46</v>
      </c>
      <c r="E3" s="17">
        <v>0.46</v>
      </c>
      <c r="F3" s="32">
        <v>0.46</v>
      </c>
      <c r="G3" s="16">
        <v>0.47</v>
      </c>
      <c r="H3" s="17">
        <v>0.47</v>
      </c>
      <c r="I3" s="20">
        <v>0.47</v>
      </c>
      <c r="J3" s="19">
        <f t="shared" si="0"/>
        <v>4.7712938426394985E-2</v>
      </c>
      <c r="K3" s="17">
        <f t="shared" ref="K3:K20" si="3">4/3*PI()*1/200*(A3*B3+B3*C3+A3*C3)</f>
        <v>1.2723450247038663E-2</v>
      </c>
      <c r="L3" s="17">
        <f t="shared" si="1"/>
        <v>5.0965010421636016E-2</v>
      </c>
      <c r="M3" s="17">
        <f t="shared" ref="M3:M20" si="4">4/3*PI()*1/200*(D3*E3+E3*F3+D3*F3)</f>
        <v>1.3295220109992003E-2</v>
      </c>
      <c r="N3" s="20">
        <f t="shared" si="2"/>
        <v>5.4361595678942165E-2</v>
      </c>
      <c r="O3" s="17">
        <f t="shared" ref="O3:O20" si="5">4/3*PI()*1/200*(G3*H3+H3*I3+G3*I3)</f>
        <v>1.3879556343559704E-2</v>
      </c>
      <c r="P3" s="45">
        <f t="shared" ref="P3:P20" si="6">MAX(K3,M3,O3)</f>
        <v>1.3879556343559704E-2</v>
      </c>
      <c r="Q3">
        <f t="shared" ref="Q3:Q20" si="7">P3/R3*100</f>
        <v>27.20778420987806</v>
      </c>
      <c r="R3">
        <f t="shared" ref="R3:R20" si="8">AVERAGE(J3,L3,N3)</f>
        <v>5.1013181508991055E-2</v>
      </c>
      <c r="S3" s="20">
        <v>5.99892617395726E-2</v>
      </c>
      <c r="T3" s="19">
        <f>14+16/60-13-46/60</f>
        <v>0.50000000000000078</v>
      </c>
      <c r="U3" s="5">
        <f>(S3-$S$2)/1.13+$N$2</f>
        <v>5.1307546286157399E-2</v>
      </c>
      <c r="V3" s="30">
        <f t="shared" ref="V3:V20" si="9">ABS(U3-R3)/MAX(R3,U3)*100</f>
        <v>0.57372608607042697</v>
      </c>
    </row>
    <row r="4" spans="1:22" x14ac:dyDescent="0.25">
      <c r="A4" s="19">
        <v>0.59</v>
      </c>
      <c r="B4" s="17">
        <v>0.59</v>
      </c>
      <c r="C4" s="32">
        <v>0.59</v>
      </c>
      <c r="D4" s="16">
        <v>0.6</v>
      </c>
      <c r="E4" s="17">
        <v>0.6</v>
      </c>
      <c r="F4" s="32">
        <v>0.6</v>
      </c>
      <c r="G4" s="16">
        <v>0.56999999999999995</v>
      </c>
      <c r="H4" s="17">
        <v>0.56999999999999995</v>
      </c>
      <c r="I4" s="20">
        <v>0.56999999999999995</v>
      </c>
      <c r="J4" s="19">
        <f t="shared" si="0"/>
        <v>0.10753619293360299</v>
      </c>
      <c r="K4" s="17">
        <f t="shared" si="3"/>
        <v>2.1871768054292133E-2</v>
      </c>
      <c r="L4" s="17">
        <f t="shared" si="1"/>
        <v>0.11309733552923253</v>
      </c>
      <c r="M4" s="17">
        <f t="shared" si="4"/>
        <v>2.2619467105846509E-2</v>
      </c>
      <c r="N4" s="20">
        <f t="shared" si="2"/>
        <v>9.6966828049375731E-2</v>
      </c>
      <c r="O4" s="17">
        <f t="shared" si="5"/>
        <v>2.0414069063026473E-2</v>
      </c>
      <c r="P4" s="45">
        <f t="shared" si="6"/>
        <v>2.2619467105846509E-2</v>
      </c>
      <c r="Q4">
        <f t="shared" si="7"/>
        <v>21.365971393338306</v>
      </c>
      <c r="R4">
        <f t="shared" si="8"/>
        <v>0.10586678550407042</v>
      </c>
      <c r="S4" s="20">
        <v>9.7499790754132107E-2</v>
      </c>
      <c r="T4" s="19">
        <f>14+46/60-13-46/60</f>
        <v>1.0000000000000009</v>
      </c>
      <c r="U4" s="5">
        <f t="shared" ref="U4:U20" si="10">(S4-$S$2)/1.13+$N$2</f>
        <v>8.4502704706121576E-2</v>
      </c>
      <c r="V4" s="30">
        <f t="shared" si="9"/>
        <v>20.180154423530148</v>
      </c>
    </row>
    <row r="5" spans="1:22" x14ac:dyDescent="0.25">
      <c r="A5" s="19">
        <v>0.65</v>
      </c>
      <c r="B5" s="17">
        <v>0.65</v>
      </c>
      <c r="C5" s="32">
        <v>0.65</v>
      </c>
      <c r="D5" s="16">
        <v>0.66</v>
      </c>
      <c r="E5" s="17">
        <v>0.66</v>
      </c>
      <c r="F5" s="32">
        <v>0.66</v>
      </c>
      <c r="G5" s="16">
        <v>0.67</v>
      </c>
      <c r="H5" s="17">
        <v>0.67</v>
      </c>
      <c r="I5" s="20">
        <v>0.67</v>
      </c>
      <c r="J5" s="19">
        <f t="shared" si="0"/>
        <v>0.14379331374868284</v>
      </c>
      <c r="K5" s="17">
        <f t="shared" si="3"/>
        <v>2.6546457922833753E-2</v>
      </c>
      <c r="L5" s="17">
        <f t="shared" si="1"/>
        <v>0.15053255358940854</v>
      </c>
      <c r="M5" s="17">
        <f t="shared" si="4"/>
        <v>2.7369555198074279E-2</v>
      </c>
      <c r="N5" s="20">
        <f t="shared" si="2"/>
        <v>0.15747913854527118</v>
      </c>
      <c r="O5" s="17">
        <f t="shared" si="5"/>
        <v>2.8205218843929167E-2</v>
      </c>
      <c r="P5" s="45">
        <f t="shared" si="6"/>
        <v>2.8205218843929167E-2</v>
      </c>
      <c r="Q5">
        <f t="shared" si="7"/>
        <v>18.728357461721387</v>
      </c>
      <c r="R5">
        <f t="shared" si="8"/>
        <v>0.15060166862778754</v>
      </c>
      <c r="S5" s="20">
        <v>0.16931761377901</v>
      </c>
      <c r="T5" s="19">
        <f>15+46/60-13-46/60</f>
        <v>2.0000000000000009</v>
      </c>
      <c r="U5" s="5">
        <f t="shared" si="10"/>
        <v>0.14805830030335862</v>
      </c>
      <c r="V5" s="30">
        <f t="shared" si="9"/>
        <v>1.6888048768668431</v>
      </c>
    </row>
    <row r="6" spans="1:22" x14ac:dyDescent="0.25">
      <c r="A6" s="19">
        <v>0.79</v>
      </c>
      <c r="B6" s="17">
        <v>0.79</v>
      </c>
      <c r="C6" s="32">
        <v>0.79</v>
      </c>
      <c r="D6" s="16">
        <v>0.78</v>
      </c>
      <c r="E6" s="17">
        <v>0.78</v>
      </c>
      <c r="F6" s="32">
        <v>0.78</v>
      </c>
      <c r="G6" s="16">
        <v>0.75</v>
      </c>
      <c r="H6" s="17">
        <v>0.75</v>
      </c>
      <c r="I6" s="20">
        <v>0.75</v>
      </c>
      <c r="J6" s="19">
        <f t="shared" si="0"/>
        <v>0.25815461672220963</v>
      </c>
      <c r="K6" s="17">
        <f t="shared" si="3"/>
        <v>3.9213359502107803E-2</v>
      </c>
      <c r="L6" s="17">
        <f t="shared" si="1"/>
        <v>0.24847484615772392</v>
      </c>
      <c r="M6" s="17">
        <f t="shared" si="4"/>
        <v>3.8226899408880605E-2</v>
      </c>
      <c r="N6" s="20">
        <f t="shared" si="2"/>
        <v>0.22089323345553233</v>
      </c>
      <c r="O6" s="17">
        <f t="shared" si="5"/>
        <v>3.5342917352885167E-2</v>
      </c>
      <c r="P6" s="45">
        <f t="shared" si="6"/>
        <v>3.9213359502107803E-2</v>
      </c>
      <c r="Q6">
        <f t="shared" si="7"/>
        <v>16.169953061104053</v>
      </c>
      <c r="R6">
        <f t="shared" si="8"/>
        <v>0.24250756544515528</v>
      </c>
      <c r="S6" s="20">
        <v>0.24149818628824599</v>
      </c>
      <c r="T6" s="19">
        <v>3</v>
      </c>
      <c r="U6" s="5">
        <f t="shared" si="10"/>
        <v>0.2119349131433905</v>
      </c>
      <c r="V6" s="30">
        <f t="shared" si="9"/>
        <v>12.606885993698617</v>
      </c>
    </row>
    <row r="7" spans="1:22" x14ac:dyDescent="0.25">
      <c r="A7" s="19">
        <v>0.84</v>
      </c>
      <c r="B7" s="17">
        <v>0.84</v>
      </c>
      <c r="C7" s="32">
        <v>0.76</v>
      </c>
      <c r="D7" s="16">
        <v>0.82</v>
      </c>
      <c r="E7" s="17">
        <v>0.82</v>
      </c>
      <c r="F7" s="32">
        <v>0.77</v>
      </c>
      <c r="G7" s="16">
        <v>0.8</v>
      </c>
      <c r="H7" s="17">
        <v>0.8</v>
      </c>
      <c r="I7" s="20">
        <v>0.8</v>
      </c>
      <c r="J7" s="19">
        <f t="shared" si="0"/>
        <v>0.2807829850072413</v>
      </c>
      <c r="K7" s="17">
        <f t="shared" si="3"/>
        <v>4.1519288509842697E-2</v>
      </c>
      <c r="L7" s="17">
        <f t="shared" si="1"/>
        <v>0.27109221886846802</v>
      </c>
      <c r="M7" s="17">
        <f t="shared" si="4"/>
        <v>4.053073402151311E-2</v>
      </c>
      <c r="N7" s="20">
        <f t="shared" si="2"/>
        <v>0.26808257310632905</v>
      </c>
      <c r="O7" s="17">
        <f t="shared" si="5"/>
        <v>4.0212385965949358E-2</v>
      </c>
      <c r="P7" s="45">
        <f t="shared" si="6"/>
        <v>4.1519288509842697E-2</v>
      </c>
      <c r="Q7">
        <f t="shared" si="7"/>
        <v>15.190765796255947</v>
      </c>
      <c r="R7">
        <f t="shared" si="8"/>
        <v>0.27331925899401277</v>
      </c>
      <c r="S7" s="20">
        <v>0.31228327014731599</v>
      </c>
      <c r="T7" s="19">
        <v>4</v>
      </c>
      <c r="U7" s="5">
        <f t="shared" si="10"/>
        <v>0.27457658027531084</v>
      </c>
      <c r="V7" s="30">
        <f t="shared" si="9"/>
        <v>0.45791279068207136</v>
      </c>
    </row>
    <row r="8" spans="1:22" x14ac:dyDescent="0.25">
      <c r="A8" s="19">
        <v>1.01</v>
      </c>
      <c r="B8" s="17">
        <v>0.85</v>
      </c>
      <c r="C8" s="32">
        <v>0.75</v>
      </c>
      <c r="D8" s="16">
        <v>0.86</v>
      </c>
      <c r="E8" s="17">
        <v>0.76</v>
      </c>
      <c r="F8" s="32">
        <v>0.98</v>
      </c>
      <c r="G8" s="16">
        <v>0.82</v>
      </c>
      <c r="H8" s="17">
        <v>0.88</v>
      </c>
      <c r="I8" s="20">
        <v>0.88</v>
      </c>
      <c r="J8" s="19">
        <f t="shared" si="0"/>
        <v>0.33713216163835463</v>
      </c>
      <c r="K8" s="17">
        <f t="shared" si="3"/>
        <v>4.7197193632430655E-2</v>
      </c>
      <c r="L8" s="17">
        <f t="shared" si="1"/>
        <v>0.3353796765364272</v>
      </c>
      <c r="M8" s="17">
        <f t="shared" si="4"/>
        <v>4.6939583034836294E-2</v>
      </c>
      <c r="N8" s="20">
        <f t="shared" si="2"/>
        <v>0.33248941129512455</v>
      </c>
      <c r="O8" s="17">
        <f t="shared" si="5"/>
        <v>4.64453057906715E-2</v>
      </c>
      <c r="P8" s="45">
        <f t="shared" si="6"/>
        <v>4.7197193632430655E-2</v>
      </c>
      <c r="Q8">
        <f t="shared" si="7"/>
        <v>14.088697001319673</v>
      </c>
      <c r="R8">
        <f t="shared" si="8"/>
        <v>0.33500041648996887</v>
      </c>
      <c r="S8" s="20">
        <v>0.38165577665257699</v>
      </c>
      <c r="T8" s="19">
        <v>5</v>
      </c>
      <c r="U8" s="5">
        <f t="shared" si="10"/>
        <v>0.335968178952533</v>
      </c>
      <c r="V8" s="30">
        <f t="shared" si="9"/>
        <v>0.28805182252122347</v>
      </c>
    </row>
    <row r="9" spans="1:22" x14ac:dyDescent="0.25">
      <c r="A9" s="19">
        <v>1</v>
      </c>
      <c r="B9" s="17">
        <v>1.1499999999999999</v>
      </c>
      <c r="C9" s="32">
        <v>0.88</v>
      </c>
      <c r="D9" s="16">
        <v>0.94</v>
      </c>
      <c r="E9" s="17">
        <v>1.04</v>
      </c>
      <c r="F9" s="32">
        <v>0.87</v>
      </c>
      <c r="G9" s="16">
        <v>1.1000000000000001</v>
      </c>
      <c r="H9" s="17">
        <v>0.86</v>
      </c>
      <c r="I9" s="20">
        <v>0.99</v>
      </c>
      <c r="J9" s="19">
        <f t="shared" si="0"/>
        <v>0.52988196090547846</v>
      </c>
      <c r="K9" s="17">
        <f t="shared" si="3"/>
        <v>6.3711499014800999E-2</v>
      </c>
      <c r="L9" s="17">
        <f t="shared" si="1"/>
        <v>0.44532704183166028</v>
      </c>
      <c r="M9" s="17">
        <f t="shared" si="4"/>
        <v>5.6552856554821063E-2</v>
      </c>
      <c r="N9" s="20">
        <f t="shared" si="2"/>
        <v>0.49037119729883083</v>
      </c>
      <c r="O9" s="17">
        <f t="shared" si="5"/>
        <v>6.0452620235477192E-2</v>
      </c>
      <c r="P9" s="45">
        <f t="shared" si="6"/>
        <v>6.3711499014800999E-2</v>
      </c>
      <c r="Q9">
        <f t="shared" si="7"/>
        <v>13.041558356186309</v>
      </c>
      <c r="R9">
        <f t="shared" si="8"/>
        <v>0.48852673334532321</v>
      </c>
      <c r="S9" s="20">
        <v>0.53534570753441402</v>
      </c>
      <c r="T9" s="19">
        <f>21+18/60-13-46/60</f>
        <v>7.5333333333333341</v>
      </c>
      <c r="U9" s="5">
        <f t="shared" si="10"/>
        <v>0.47197696734353922</v>
      </c>
      <c r="V9" s="30">
        <f t="shared" si="9"/>
        <v>3.387688916930879</v>
      </c>
    </row>
    <row r="10" spans="1:22" x14ac:dyDescent="0.25">
      <c r="A10" s="19">
        <v>1.27</v>
      </c>
      <c r="B10" s="17">
        <v>1.06</v>
      </c>
      <c r="C10" s="32">
        <v>0.86</v>
      </c>
      <c r="D10" s="16">
        <v>1.1000000000000001</v>
      </c>
      <c r="E10" s="17">
        <v>1.01</v>
      </c>
      <c r="F10" s="32">
        <v>0.93</v>
      </c>
      <c r="G10" s="16">
        <v>1.1599999999999999</v>
      </c>
      <c r="H10" s="17">
        <v>1.08</v>
      </c>
      <c r="I10" s="20">
        <v>0.87</v>
      </c>
      <c r="J10" s="19">
        <f t="shared" si="0"/>
        <v>0.6061870576709697</v>
      </c>
      <c r="K10" s="17">
        <f t="shared" si="3"/>
        <v>7.016223593017204E-2</v>
      </c>
      <c r="L10" s="17">
        <f t="shared" si="1"/>
        <v>0.54099796291143032</v>
      </c>
      <c r="M10" s="17">
        <f t="shared" si="4"/>
        <v>6.4367044681850075E-2</v>
      </c>
      <c r="N10" s="20">
        <f t="shared" si="2"/>
        <v>0.57068915508050744</v>
      </c>
      <c r="O10" s="17">
        <f t="shared" si="5"/>
        <v>6.7054153598220534E-2</v>
      </c>
      <c r="P10" s="45">
        <f t="shared" si="6"/>
        <v>7.016223593017204E-2</v>
      </c>
      <c r="Q10">
        <f t="shared" si="7"/>
        <v>12.252742999020388</v>
      </c>
      <c r="R10">
        <f t="shared" si="8"/>
        <v>0.57262472522096919</v>
      </c>
      <c r="S10" s="20">
        <v>0.68877360226115802</v>
      </c>
      <c r="T10" s="19">
        <f>23+40/60-13-46/60</f>
        <v>9.9</v>
      </c>
      <c r="U10" s="5">
        <f t="shared" si="10"/>
        <v>0.60775386533180831</v>
      </c>
      <c r="V10" s="30">
        <f t="shared" si="9"/>
        <v>5.7801590602241699</v>
      </c>
    </row>
    <row r="11" spans="1:22" x14ac:dyDescent="0.25">
      <c r="A11" s="19">
        <v>1.21</v>
      </c>
      <c r="B11" s="17">
        <v>1.21</v>
      </c>
      <c r="C11" s="32">
        <v>0.95</v>
      </c>
      <c r="D11" s="16">
        <v>1.38</v>
      </c>
      <c r="E11" s="17">
        <v>1.1000000000000001</v>
      </c>
      <c r="F11" s="32">
        <v>0.84</v>
      </c>
      <c r="G11" s="16">
        <v>1.23</v>
      </c>
      <c r="H11" s="17">
        <v>1.1000000000000001</v>
      </c>
      <c r="I11" s="20">
        <v>0.9</v>
      </c>
      <c r="J11" s="19">
        <f t="shared" si="0"/>
        <v>0.72827091898579566</v>
      </c>
      <c r="K11" s="17">
        <f t="shared" si="3"/>
        <v>7.8814182098158325E-2</v>
      </c>
      <c r="L11" s="17">
        <f t="shared" si="1"/>
        <v>0.6676512707409028</v>
      </c>
      <c r="M11" s="17">
        <f t="shared" si="4"/>
        <v>7.542335642738375E-2</v>
      </c>
      <c r="N11" s="20">
        <f t="shared" si="2"/>
        <v>0.63758622904604856</v>
      </c>
      <c r="O11" s="17">
        <f t="shared" si="5"/>
        <v>7.2256631032565244E-2</v>
      </c>
      <c r="P11" s="45">
        <f t="shared" si="6"/>
        <v>7.8814182098158325E-2</v>
      </c>
      <c r="Q11">
        <f t="shared" si="7"/>
        <v>11.627320748304136</v>
      </c>
      <c r="R11">
        <f t="shared" si="8"/>
        <v>0.67783613959091571</v>
      </c>
      <c r="S11" s="20">
        <v>0.82724653754182298</v>
      </c>
      <c r="T11" s="19">
        <f>24+2+16/60-13-46/60</f>
        <v>12.499999999999998</v>
      </c>
      <c r="U11" s="5">
        <f t="shared" si="10"/>
        <v>0.73029628593416673</v>
      </c>
      <c r="V11" s="30">
        <f t="shared" si="9"/>
        <v>7.1834058797308602</v>
      </c>
    </row>
    <row r="12" spans="1:22" x14ac:dyDescent="0.25">
      <c r="A12" s="19">
        <v>1.2</v>
      </c>
      <c r="B12" s="17">
        <v>1.24</v>
      </c>
      <c r="C12" s="32">
        <v>1.1000000000000001</v>
      </c>
      <c r="D12" s="16">
        <v>1.18</v>
      </c>
      <c r="E12" s="17">
        <v>1.47</v>
      </c>
      <c r="F12" s="32">
        <v>1.08</v>
      </c>
      <c r="G12" s="16">
        <v>1.26</v>
      </c>
      <c r="H12" s="17">
        <v>1.26</v>
      </c>
      <c r="I12" s="20">
        <v>1.05</v>
      </c>
      <c r="J12" s="19">
        <f t="shared" si="0"/>
        <v>0.85702647589929548</v>
      </c>
      <c r="K12" s="17">
        <f t="shared" si="3"/>
        <v>8.7378163671844117E-2</v>
      </c>
      <c r="L12" s="17">
        <f t="shared" si="1"/>
        <v>0.9808931910450337</v>
      </c>
      <c r="M12" s="17">
        <f t="shared" si="4"/>
        <v>9.6270965276605627E-2</v>
      </c>
      <c r="N12" s="20">
        <f t="shared" si="2"/>
        <v>0.87282868694685212</v>
      </c>
      <c r="O12" s="17">
        <f t="shared" si="5"/>
        <v>8.8668311054918333E-2</v>
      </c>
      <c r="P12" s="45">
        <f t="shared" si="6"/>
        <v>9.6270965276605627E-2</v>
      </c>
      <c r="Q12">
        <f t="shared" si="7"/>
        <v>10.654360277125555</v>
      </c>
      <c r="R12">
        <f t="shared" si="8"/>
        <v>0.90358278463039376</v>
      </c>
      <c r="S12" s="20">
        <v>1.1652442949775299</v>
      </c>
      <c r="T12" s="19">
        <f>24+9+30/60-13-46/60</f>
        <v>19.733333333333334</v>
      </c>
      <c r="U12" s="5">
        <f t="shared" si="10"/>
        <v>1.0294093456117837</v>
      </c>
      <c r="V12" s="30">
        <f t="shared" si="9"/>
        <v>12.223180362386401</v>
      </c>
    </row>
    <row r="13" spans="1:22" x14ac:dyDescent="0.25">
      <c r="A13" s="19">
        <v>1.27</v>
      </c>
      <c r="B13" s="17">
        <v>1.32</v>
      </c>
      <c r="C13" s="32">
        <v>1.32</v>
      </c>
      <c r="D13" s="16">
        <v>1.33</v>
      </c>
      <c r="E13" s="17">
        <v>1.33</v>
      </c>
      <c r="F13" s="32">
        <v>1.23</v>
      </c>
      <c r="G13" s="16">
        <v>1.47</v>
      </c>
      <c r="H13" s="17">
        <v>1.29</v>
      </c>
      <c r="I13" s="20">
        <v>1.1599999999999999</v>
      </c>
      <c r="J13" s="19">
        <f t="shared" si="0"/>
        <v>1.1586445033851445</v>
      </c>
      <c r="K13" s="17">
        <f t="shared" si="3"/>
        <v>0.10671361925713808</v>
      </c>
      <c r="L13" s="17">
        <f t="shared" si="1"/>
        <v>1.1392184652116719</v>
      </c>
      <c r="M13" s="17">
        <f t="shared" si="4"/>
        <v>0.10557217392633379</v>
      </c>
      <c r="N13" s="20">
        <f t="shared" si="2"/>
        <v>1.1517644154737827</v>
      </c>
      <c r="O13" s="17">
        <f t="shared" si="5"/>
        <v>0.10677016792490271</v>
      </c>
      <c r="P13" s="45">
        <f t="shared" si="6"/>
        <v>0.10677016792490271</v>
      </c>
      <c r="Q13">
        <f t="shared" si="7"/>
        <v>9.285365290576344</v>
      </c>
      <c r="R13">
        <f t="shared" si="8"/>
        <v>1.1498757946901996</v>
      </c>
      <c r="S13" s="20">
        <v>1.3331369087332301</v>
      </c>
      <c r="T13" s="19">
        <f>24+13+43/60-13-46/60</f>
        <v>23.950000000000003</v>
      </c>
      <c r="U13" s="5">
        <f t="shared" si="10"/>
        <v>1.1779868799088633</v>
      </c>
      <c r="V13" s="30">
        <f t="shared" si="9"/>
        <v>2.386366579977405</v>
      </c>
    </row>
    <row r="14" spans="1:22" x14ac:dyDescent="0.25">
      <c r="A14" s="19">
        <v>1.41</v>
      </c>
      <c r="B14" s="17">
        <v>1.23</v>
      </c>
      <c r="C14" s="32">
        <v>1.3</v>
      </c>
      <c r="D14" s="16">
        <v>1.34</v>
      </c>
      <c r="E14" s="17">
        <v>1.34</v>
      </c>
      <c r="F14" s="32">
        <v>1.41</v>
      </c>
      <c r="G14" s="16">
        <v>1.52</v>
      </c>
      <c r="H14" s="17">
        <v>1.32</v>
      </c>
      <c r="I14" s="20">
        <v>1.17</v>
      </c>
      <c r="J14" s="19">
        <f t="shared" si="0"/>
        <v>1.1805005634761685</v>
      </c>
      <c r="K14" s="17">
        <f t="shared" si="3"/>
        <v>0.10820273417493964</v>
      </c>
      <c r="L14" s="17">
        <f t="shared" si="1"/>
        <v>1.3256452856646705</v>
      </c>
      <c r="M14" s="17">
        <f t="shared" si="4"/>
        <v>0.11674996058780629</v>
      </c>
      <c r="N14" s="20">
        <f t="shared" si="2"/>
        <v>1.2291418425316991</v>
      </c>
      <c r="O14" s="17">
        <f t="shared" si="5"/>
        <v>0.11161450379673817</v>
      </c>
      <c r="P14" s="45">
        <f t="shared" si="6"/>
        <v>0.11674996058780629</v>
      </c>
      <c r="Q14">
        <f t="shared" si="7"/>
        <v>9.3767846194087543</v>
      </c>
      <c r="R14">
        <f t="shared" si="8"/>
        <v>1.2450958972241795</v>
      </c>
      <c r="S14" s="20">
        <v>1.4553952544925799</v>
      </c>
      <c r="T14" s="19">
        <f>24+17+24/60-13-46/60</f>
        <v>27.633333333333333</v>
      </c>
      <c r="U14" s="5">
        <f t="shared" si="10"/>
        <v>1.2861801062445712</v>
      </c>
      <c r="V14" s="30">
        <f t="shared" si="9"/>
        <v>3.1942811757795524</v>
      </c>
    </row>
    <row r="15" spans="1:22" x14ac:dyDescent="0.25">
      <c r="A15" s="19">
        <v>1.4</v>
      </c>
      <c r="B15" s="17">
        <v>1.4</v>
      </c>
      <c r="C15" s="32">
        <v>1.3</v>
      </c>
      <c r="D15" s="16">
        <v>1.36</v>
      </c>
      <c r="E15" s="17">
        <v>1.36</v>
      </c>
      <c r="F15" s="32">
        <v>1.36</v>
      </c>
      <c r="G15" s="16">
        <v>1.56</v>
      </c>
      <c r="H15" s="17">
        <v>1.3</v>
      </c>
      <c r="I15" s="20">
        <v>1.3</v>
      </c>
      <c r="J15" s="19">
        <f t="shared" si="0"/>
        <v>1.3341296802244653</v>
      </c>
      <c r="K15" s="17">
        <f t="shared" si="3"/>
        <v>0.11728612573401892</v>
      </c>
      <c r="L15" s="17">
        <f t="shared" si="1"/>
        <v>1.3170896816713946</v>
      </c>
      <c r="M15" s="17">
        <f t="shared" si="4"/>
        <v>0.11621379544159363</v>
      </c>
      <c r="N15" s="20">
        <f t="shared" si="2"/>
        <v>1.3804158119873551</v>
      </c>
      <c r="O15" s="17">
        <f t="shared" si="5"/>
        <v>0.12034394258351301</v>
      </c>
      <c r="P15" s="45">
        <f t="shared" si="6"/>
        <v>0.12034394258351301</v>
      </c>
      <c r="Q15">
        <f t="shared" si="7"/>
        <v>8.9549726644238543</v>
      </c>
      <c r="R15">
        <f t="shared" si="8"/>
        <v>1.343878391294405</v>
      </c>
      <c r="S15" s="20">
        <v>1.5771726609910499</v>
      </c>
      <c r="T15" s="19">
        <f>24+21+52/60-13-46/60</f>
        <v>32.1</v>
      </c>
      <c r="U15" s="5">
        <f t="shared" si="10"/>
        <v>1.3939477226148986</v>
      </c>
      <c r="V15" s="30">
        <f t="shared" si="9"/>
        <v>3.5919088290175512</v>
      </c>
    </row>
    <row r="16" spans="1:22" x14ac:dyDescent="0.25">
      <c r="A16" s="19">
        <v>1.6</v>
      </c>
      <c r="B16" s="17">
        <v>1.33</v>
      </c>
      <c r="C16" s="32">
        <v>1.33</v>
      </c>
      <c r="D16" s="16">
        <v>1.37</v>
      </c>
      <c r="E16" s="17">
        <v>1.37</v>
      </c>
      <c r="F16" s="32">
        <v>1.5</v>
      </c>
      <c r="G16" s="16">
        <v>1.4</v>
      </c>
      <c r="H16" s="17">
        <v>1.4</v>
      </c>
      <c r="I16" s="20">
        <v>1.4</v>
      </c>
      <c r="J16" s="19">
        <f t="shared" si="0"/>
        <v>1.4819101986493295</v>
      </c>
      <c r="K16" s="17">
        <f t="shared" si="3"/>
        <v>0.12618521052408763</v>
      </c>
      <c r="L16" s="17">
        <f t="shared" si="1"/>
        <v>1.4741138128806708</v>
      </c>
      <c r="M16" s="17">
        <f t="shared" si="4"/>
        <v>0.12538934038517821</v>
      </c>
      <c r="N16" s="20">
        <f t="shared" si="2"/>
        <v>1.4367550402417317</v>
      </c>
      <c r="O16" s="17">
        <f t="shared" si="5"/>
        <v>0.12315043202071986</v>
      </c>
      <c r="P16" s="45">
        <f t="shared" si="6"/>
        <v>0.12618521052408763</v>
      </c>
      <c r="Q16">
        <f t="shared" si="7"/>
        <v>8.6176797674260612</v>
      </c>
      <c r="R16">
        <f t="shared" si="8"/>
        <v>1.4642596839239106</v>
      </c>
      <c r="S16" s="20">
        <v>1.66936638743527</v>
      </c>
      <c r="T16" s="19">
        <f>24*2+1+29/60-13-46/60</f>
        <v>35.716666666666669</v>
      </c>
      <c r="U16" s="5">
        <f t="shared" si="10"/>
        <v>1.4755350911496068</v>
      </c>
      <c r="V16" s="30">
        <f t="shared" si="9"/>
        <v>0.76415717208808609</v>
      </c>
    </row>
    <row r="17" spans="1:22" x14ac:dyDescent="0.25">
      <c r="A17" s="19">
        <v>1.5</v>
      </c>
      <c r="B17" s="17">
        <v>1.46</v>
      </c>
      <c r="C17" s="32">
        <v>1.46</v>
      </c>
      <c r="D17" s="16">
        <v>1.45</v>
      </c>
      <c r="E17" s="17">
        <v>1.45</v>
      </c>
      <c r="F17" s="32">
        <v>1.45</v>
      </c>
      <c r="G17" s="16">
        <v>1.66</v>
      </c>
      <c r="H17" s="17">
        <v>1.42</v>
      </c>
      <c r="I17" s="20">
        <v>1.35</v>
      </c>
      <c r="J17" s="19">
        <f t="shared" si="0"/>
        <v>1.6741547250980007</v>
      </c>
      <c r="K17" s="17">
        <f t="shared" si="3"/>
        <v>0.13637863148743529</v>
      </c>
      <c r="L17" s="17">
        <f t="shared" si="1"/>
        <v>1.5962563172583637</v>
      </c>
      <c r="M17" s="17">
        <f t="shared" si="4"/>
        <v>0.13210397108345079</v>
      </c>
      <c r="N17" s="20">
        <f t="shared" si="2"/>
        <v>1.6662064956844185</v>
      </c>
      <c r="O17" s="17">
        <f t="shared" si="5"/>
        <v>0.13645402971112147</v>
      </c>
      <c r="P17" s="45">
        <f t="shared" si="6"/>
        <v>0.13645402971112147</v>
      </c>
      <c r="Q17">
        <f t="shared" si="7"/>
        <v>8.2923598188209997</v>
      </c>
      <c r="R17">
        <f t="shared" si="8"/>
        <v>1.6455391793469276</v>
      </c>
      <c r="S17" s="20">
        <v>1.7867431846957</v>
      </c>
      <c r="T17" s="19">
        <f>24*2+10+42/60-13-46/60</f>
        <v>44.933333333333337</v>
      </c>
      <c r="U17" s="5">
        <f t="shared" si="10"/>
        <v>1.5794083630614917</v>
      </c>
      <c r="V17" s="30">
        <f t="shared" si="9"/>
        <v>4.0187931782749509</v>
      </c>
    </row>
    <row r="18" spans="1:22" x14ac:dyDescent="0.25">
      <c r="A18" s="19">
        <v>1.55</v>
      </c>
      <c r="B18" s="17">
        <v>1.46</v>
      </c>
      <c r="C18" s="32">
        <v>1.46</v>
      </c>
      <c r="D18" s="16">
        <v>1.46</v>
      </c>
      <c r="E18" s="17">
        <v>1.46</v>
      </c>
      <c r="F18" s="32">
        <v>1.46</v>
      </c>
      <c r="G18" s="16">
        <v>1.5</v>
      </c>
      <c r="H18" s="17">
        <v>1.5</v>
      </c>
      <c r="I18" s="20">
        <v>1.4</v>
      </c>
      <c r="J18" s="19">
        <f t="shared" si="0"/>
        <v>1.7299598826012672</v>
      </c>
      <c r="K18" s="17">
        <f t="shared" si="3"/>
        <v>0.13943644833692936</v>
      </c>
      <c r="L18" s="17">
        <f t="shared" si="1"/>
        <v>1.6295105990953873</v>
      </c>
      <c r="M18" s="17">
        <f t="shared" si="4"/>
        <v>0.13393237800784003</v>
      </c>
      <c r="N18" s="20">
        <f t="shared" si="2"/>
        <v>1.6493361431346414</v>
      </c>
      <c r="O18" s="17">
        <f t="shared" si="5"/>
        <v>0.13508848410436108</v>
      </c>
      <c r="P18" s="45">
        <f t="shared" si="6"/>
        <v>0.13943644833692936</v>
      </c>
      <c r="Q18">
        <f t="shared" si="7"/>
        <v>8.3514772348568638</v>
      </c>
      <c r="R18">
        <f t="shared" si="8"/>
        <v>1.6696022082770987</v>
      </c>
      <c r="S18" s="20">
        <v>1.83208257438803</v>
      </c>
      <c r="T18" s="19">
        <f>24*2+17+12/60-13-46/60</f>
        <v>51.433333333333337</v>
      </c>
      <c r="U18" s="5">
        <f t="shared" si="10"/>
        <v>1.6195317167715182</v>
      </c>
      <c r="V18" s="30">
        <f t="shared" si="9"/>
        <v>2.9989473694605029</v>
      </c>
    </row>
    <row r="19" spans="1:22" x14ac:dyDescent="0.25">
      <c r="A19" s="19">
        <v>1.5</v>
      </c>
      <c r="B19" s="17">
        <v>1.39</v>
      </c>
      <c r="C19" s="32">
        <v>1.58</v>
      </c>
      <c r="D19" s="16">
        <v>1.47</v>
      </c>
      <c r="E19" s="17">
        <v>1.47</v>
      </c>
      <c r="F19" s="32">
        <v>1.47</v>
      </c>
      <c r="G19" s="16">
        <v>1.44</v>
      </c>
      <c r="H19" s="17">
        <v>1.44</v>
      </c>
      <c r="I19" s="20">
        <v>1.49</v>
      </c>
      <c r="J19" s="19">
        <f t="shared" si="0"/>
        <v>1.7248914464534757</v>
      </c>
      <c r="K19" s="17">
        <f t="shared" si="3"/>
        <v>0.13930240705037622</v>
      </c>
      <c r="L19" s="17">
        <f t="shared" si="1"/>
        <v>1.663223553459835</v>
      </c>
      <c r="M19" s="17">
        <f t="shared" si="4"/>
        <v>0.13577335130284365</v>
      </c>
      <c r="N19" s="20">
        <f t="shared" si="2"/>
        <v>1.6177442874101422</v>
      </c>
      <c r="O19" s="17">
        <f t="shared" si="5"/>
        <v>0.13330405947712209</v>
      </c>
      <c r="P19" s="45">
        <f t="shared" si="6"/>
        <v>0.13930240705037622</v>
      </c>
      <c r="Q19">
        <f t="shared" si="7"/>
        <v>8.3483613334760047</v>
      </c>
      <c r="R19">
        <f t="shared" si="8"/>
        <v>1.668619762441151</v>
      </c>
      <c r="S19" s="20">
        <v>1.8728287102779</v>
      </c>
      <c r="T19" s="19">
        <f>24*3+1+31/60-13-46/60</f>
        <v>59.75</v>
      </c>
      <c r="U19" s="5">
        <f t="shared" si="10"/>
        <v>1.6555902441076864</v>
      </c>
      <c r="V19" s="30">
        <f t="shared" si="9"/>
        <v>0.78085604801915309</v>
      </c>
    </row>
    <row r="20" spans="1:22" ht="15.75" thickBot="1" x14ac:dyDescent="0.3">
      <c r="A20" s="21">
        <v>1.6</v>
      </c>
      <c r="B20" s="28">
        <v>1.5</v>
      </c>
      <c r="C20" s="34">
        <v>1.38</v>
      </c>
      <c r="D20" s="35">
        <v>1.48</v>
      </c>
      <c r="E20" s="28">
        <v>1.48</v>
      </c>
      <c r="F20" s="34">
        <v>1.48</v>
      </c>
      <c r="G20" s="35">
        <v>1.45</v>
      </c>
      <c r="H20" s="28">
        <v>1.45</v>
      </c>
      <c r="I20" s="22">
        <v>1.48</v>
      </c>
      <c r="J20" s="21">
        <f t="shared" si="0"/>
        <v>1.7341591447815656</v>
      </c>
      <c r="K20" s="28">
        <f t="shared" si="3"/>
        <v>0.13986370493781761</v>
      </c>
      <c r="L20" s="28">
        <f t="shared" si="1"/>
        <v>1.6973983219443602</v>
      </c>
      <c r="M20" s="28">
        <f t="shared" si="4"/>
        <v>0.13762689096846162</v>
      </c>
      <c r="N20" s="22">
        <f t="shared" si="2"/>
        <v>1.6292823100292264</v>
      </c>
      <c r="O20" s="28">
        <f t="shared" si="5"/>
        <v>0.13392609482253287</v>
      </c>
      <c r="P20" s="46">
        <f t="shared" si="6"/>
        <v>0.13986370493781761</v>
      </c>
      <c r="Q20" s="8">
        <f t="shared" si="7"/>
        <v>8.2909385264609412</v>
      </c>
      <c r="R20" s="8">
        <f t="shared" si="8"/>
        <v>1.6869465922517175</v>
      </c>
      <c r="S20" s="22">
        <v>1.8876550163611601</v>
      </c>
      <c r="T20" s="21">
        <f>24*3+10+2/60-13-46/60</f>
        <v>68.266666666666666</v>
      </c>
      <c r="U20" s="9">
        <f t="shared" si="10"/>
        <v>1.6687108689601289</v>
      </c>
      <c r="V20" s="31">
        <f t="shared" si="9"/>
        <v>1.0809899599280013</v>
      </c>
    </row>
  </sheetData>
  <mergeCells count="3">
    <mergeCell ref="A1:C1"/>
    <mergeCell ref="D1:F1"/>
    <mergeCell ref="G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H1" workbookViewId="0">
      <selection activeCell="V1" sqref="V1:V2"/>
    </sheetView>
  </sheetViews>
  <sheetFormatPr baseColWidth="10" defaultRowHeight="15" x14ac:dyDescent="0.25"/>
  <cols>
    <col min="22" max="22" width="15" bestFit="1" customWidth="1"/>
  </cols>
  <sheetData>
    <row r="1" spans="1:22" ht="15.75" thickBot="1" x14ac:dyDescent="0.3">
      <c r="A1" s="63" t="s">
        <v>6</v>
      </c>
      <c r="B1" s="64"/>
      <c r="C1" s="65"/>
      <c r="D1" s="66" t="s">
        <v>7</v>
      </c>
      <c r="E1" s="64"/>
      <c r="F1" s="65"/>
      <c r="G1" s="66" t="s">
        <v>8</v>
      </c>
      <c r="H1" s="64"/>
      <c r="I1" s="65"/>
      <c r="J1" s="26" t="s">
        <v>0</v>
      </c>
      <c r="K1" s="24" t="s">
        <v>13</v>
      </c>
      <c r="L1" s="36" t="s">
        <v>1</v>
      </c>
      <c r="M1" s="24" t="s">
        <v>14</v>
      </c>
      <c r="N1" s="36" t="s">
        <v>2</v>
      </c>
      <c r="O1" s="25" t="s">
        <v>15</v>
      </c>
      <c r="P1" s="12" t="s">
        <v>16</v>
      </c>
      <c r="Q1" s="36" t="s">
        <v>9</v>
      </c>
      <c r="R1" s="24" t="s">
        <v>17</v>
      </c>
      <c r="S1" s="27" t="s">
        <v>10</v>
      </c>
      <c r="T1" s="36" t="s">
        <v>11</v>
      </c>
      <c r="U1" s="14" t="s">
        <v>3</v>
      </c>
      <c r="V1" s="74" t="s">
        <v>18</v>
      </c>
    </row>
    <row r="2" spans="1:22" x14ac:dyDescent="0.25">
      <c r="A2" s="40">
        <v>0.28000000000000003</v>
      </c>
      <c r="B2" s="41">
        <v>0.28000000000000003</v>
      </c>
      <c r="C2" s="42">
        <v>0.28000000000000003</v>
      </c>
      <c r="D2" s="43">
        <v>0.28000000000000003</v>
      </c>
      <c r="E2" s="41">
        <v>0.28000000000000003</v>
      </c>
      <c r="F2" s="42">
        <v>0.28000000000000003</v>
      </c>
      <c r="G2" s="43">
        <v>0.28000000000000003</v>
      </c>
      <c r="H2" s="41">
        <v>0.28000000000000003</v>
      </c>
      <c r="I2" s="42">
        <v>0.28000000000000003</v>
      </c>
      <c r="J2" s="43">
        <f t="shared" ref="J2:J20" si="0">4/3*PI()*A2*B2*C2/8</f>
        <v>1.149404032193386E-2</v>
      </c>
      <c r="K2" s="41">
        <f>4/3*PI()*1/200*(A2*B2+B2*C2+A2*C2)</f>
        <v>4.9260172808287955E-3</v>
      </c>
      <c r="L2" s="41">
        <f t="shared" ref="L2:L20" si="1">4/3*PI()*D2*E2*F2/8</f>
        <v>1.149404032193386E-2</v>
      </c>
      <c r="M2" s="41">
        <f>4/3*PI()*1/200*(D2*E2+E2*F2+D2*F2)</f>
        <v>4.9260172808287955E-3</v>
      </c>
      <c r="N2" s="41">
        <f t="shared" ref="N2:N20" si="2">4/3*PI()*G2*H2*I2/8</f>
        <v>1.149404032193386E-2</v>
      </c>
      <c r="O2" s="44">
        <f>4/3*PI()*1/200*(G2*H2+H2*I2+G2*I2)</f>
        <v>4.9260172808287955E-3</v>
      </c>
      <c r="P2" s="23">
        <f>MAX(K2,M2,O2)</f>
        <v>4.9260172808287955E-3</v>
      </c>
      <c r="Q2" s="2">
        <f>P2/R2*100</f>
        <v>42.857142857142847</v>
      </c>
      <c r="R2" s="2">
        <f>AVERAGE(J2,L2,N2)</f>
        <v>1.149404032193386E-2</v>
      </c>
      <c r="S2" s="44">
        <v>1.4999999999999999E-2</v>
      </c>
      <c r="T2" s="41">
        <v>0</v>
      </c>
      <c r="U2" s="3">
        <f>(S2-$S$2)/1.1538+$N$2</f>
        <v>1.149404032193386E-2</v>
      </c>
      <c r="V2" s="30">
        <f>ABS(U2-R2)/MAX(R2,U2)*100</f>
        <v>0</v>
      </c>
    </row>
    <row r="3" spans="1:22" x14ac:dyDescent="0.25">
      <c r="A3" s="19">
        <v>0.43</v>
      </c>
      <c r="B3" s="17">
        <v>0.43</v>
      </c>
      <c r="C3" s="32">
        <v>0.43</v>
      </c>
      <c r="D3" s="16">
        <v>0.41</v>
      </c>
      <c r="E3" s="17">
        <v>0.41</v>
      </c>
      <c r="F3" s="32">
        <v>0.41</v>
      </c>
      <c r="G3" s="16">
        <v>0.42</v>
      </c>
      <c r="H3" s="17">
        <v>0.42</v>
      </c>
      <c r="I3" s="32">
        <v>0.42</v>
      </c>
      <c r="J3" s="16">
        <f t="shared" si="0"/>
        <v>4.1629767851493943E-2</v>
      </c>
      <c r="K3" s="17">
        <f t="shared" ref="K3:K20" si="3">4/3*PI()*1/200*(A3*B3+B3*C3+A3*C3)</f>
        <v>1.1617609632975054E-2</v>
      </c>
      <c r="L3" s="17">
        <f t="shared" si="1"/>
        <v>3.6086951213010345E-2</v>
      </c>
      <c r="M3" s="17">
        <f t="shared" ref="M3:M20" si="4">4/3*PI()*1/200*(D3*E3+E3*F3+D3*F3)</f>
        <v>1.0562034501368884E-2</v>
      </c>
      <c r="N3" s="17">
        <f t="shared" si="2"/>
        <v>3.8792386086526756E-2</v>
      </c>
      <c r="O3" s="17">
        <f t="shared" ref="O3:O20" si="5">4/3*PI()*1/200*(G3*H3+H3*I3+G3*I3)</f>
        <v>1.1083538881864786E-2</v>
      </c>
      <c r="P3" s="45">
        <f t="shared" ref="P3:P20" si="6">MAX(K3,M3,O3)</f>
        <v>1.1617609632975054E-2</v>
      </c>
      <c r="Q3">
        <f t="shared" ref="Q3:Q20" si="7">P3/R3*100</f>
        <v>29.91425335706197</v>
      </c>
      <c r="R3">
        <f t="shared" ref="R3:R20" si="8">AVERAGE(J3,L3,N3)</f>
        <v>3.883636838367701E-2</v>
      </c>
      <c r="S3" s="20">
        <v>4.4999999999999998E-2</v>
      </c>
      <c r="T3" s="17">
        <f>14+16/60-13-46/60</f>
        <v>0.50000000000000078</v>
      </c>
      <c r="U3" s="5">
        <f t="shared" ref="U3:U20" si="9">(S3-$S$2)/1.1538+$N$2</f>
        <v>3.7495080363535528E-2</v>
      </c>
      <c r="V3" s="30">
        <f t="shared" ref="V3:V20" si="10">ABS(U3-R3)/MAX(R3,U3)*100</f>
        <v>3.4536906409231287</v>
      </c>
    </row>
    <row r="4" spans="1:22" x14ac:dyDescent="0.25">
      <c r="A4" s="19">
        <v>0.49</v>
      </c>
      <c r="B4" s="17">
        <v>0.49</v>
      </c>
      <c r="C4" s="32">
        <v>0.49</v>
      </c>
      <c r="D4" s="16">
        <v>0.47</v>
      </c>
      <c r="E4" s="17">
        <v>0.47</v>
      </c>
      <c r="F4" s="32">
        <v>0.47</v>
      </c>
      <c r="G4" s="16">
        <v>0.48</v>
      </c>
      <c r="H4" s="17">
        <v>0.48</v>
      </c>
      <c r="I4" s="32">
        <v>0.48</v>
      </c>
      <c r="J4" s="16">
        <f t="shared" si="0"/>
        <v>6.1600872350364252E-2</v>
      </c>
      <c r="K4" s="17">
        <f t="shared" si="3"/>
        <v>1.5085927922538184E-2</v>
      </c>
      <c r="L4" s="17">
        <f t="shared" si="1"/>
        <v>5.4361595678942165E-2</v>
      </c>
      <c r="M4" s="17">
        <f t="shared" si="4"/>
        <v>1.3879556343559704E-2</v>
      </c>
      <c r="N4" s="17">
        <f t="shared" si="2"/>
        <v>5.7905835790967058E-2</v>
      </c>
      <c r="O4" s="17">
        <f t="shared" si="5"/>
        <v>1.4476458947741766E-2</v>
      </c>
      <c r="P4" s="45">
        <f t="shared" si="6"/>
        <v>1.5085927922538184E-2</v>
      </c>
      <c r="Q4">
        <f t="shared" si="7"/>
        <v>26.029921942758026</v>
      </c>
      <c r="R4">
        <f t="shared" si="8"/>
        <v>5.7956101273424487E-2</v>
      </c>
      <c r="S4" s="20">
        <v>6.3E-2</v>
      </c>
      <c r="T4" s="17">
        <f>14+46/60-13-46/60</f>
        <v>1.0000000000000009</v>
      </c>
      <c r="U4" s="5">
        <f t="shared" si="9"/>
        <v>5.3095704388496527E-2</v>
      </c>
      <c r="V4" s="30">
        <f t="shared" si="10"/>
        <v>8.3863420384294791</v>
      </c>
    </row>
    <row r="5" spans="1:22" x14ac:dyDescent="0.25">
      <c r="A5" s="19">
        <v>0.54</v>
      </c>
      <c r="B5" s="17">
        <v>0.54</v>
      </c>
      <c r="C5" s="32">
        <v>0.54</v>
      </c>
      <c r="D5" s="16">
        <v>0.55000000000000004</v>
      </c>
      <c r="E5" s="17">
        <v>0.55000000000000004</v>
      </c>
      <c r="F5" s="32">
        <v>0.55000000000000004</v>
      </c>
      <c r="G5" s="16">
        <v>0.56000000000000005</v>
      </c>
      <c r="H5" s="17">
        <v>0.56000000000000005</v>
      </c>
      <c r="I5" s="32">
        <v>0.56000000000000005</v>
      </c>
      <c r="J5" s="16">
        <f t="shared" si="0"/>
        <v>8.2447957600810556E-2</v>
      </c>
      <c r="K5" s="17">
        <f t="shared" si="3"/>
        <v>1.8321768355735672E-2</v>
      </c>
      <c r="L5" s="17">
        <f t="shared" si="1"/>
        <v>8.7113746290166993E-2</v>
      </c>
      <c r="M5" s="17">
        <f t="shared" si="4"/>
        <v>1.9006635554218252E-2</v>
      </c>
      <c r="N5" s="17">
        <f t="shared" si="2"/>
        <v>9.1952322575470882E-2</v>
      </c>
      <c r="O5" s="17">
        <f t="shared" si="5"/>
        <v>1.9704069123315182E-2</v>
      </c>
      <c r="P5" s="45">
        <f t="shared" si="6"/>
        <v>1.9704069123315182E-2</v>
      </c>
      <c r="Q5">
        <f t="shared" si="7"/>
        <v>22.603838183620137</v>
      </c>
      <c r="R5">
        <f t="shared" si="8"/>
        <v>8.717134215548282E-2</v>
      </c>
      <c r="S5" s="20">
        <v>0.10100000000000001</v>
      </c>
      <c r="T5" s="17">
        <f>15+46/60-13-46/60</f>
        <v>2.0000000000000009</v>
      </c>
      <c r="U5" s="5">
        <f t="shared" si="9"/>
        <v>8.6030355107858641E-2</v>
      </c>
      <c r="V5" s="30">
        <f t="shared" si="10"/>
        <v>1.308901548847397</v>
      </c>
    </row>
    <row r="6" spans="1:22" x14ac:dyDescent="0.25">
      <c r="A6" s="19">
        <v>0.6</v>
      </c>
      <c r="B6" s="17">
        <v>0.6</v>
      </c>
      <c r="C6" s="32">
        <v>0.6</v>
      </c>
      <c r="D6" s="16">
        <v>0.61</v>
      </c>
      <c r="E6" s="17">
        <v>0.61</v>
      </c>
      <c r="F6" s="32">
        <v>0.61</v>
      </c>
      <c r="G6" s="16">
        <v>0.6</v>
      </c>
      <c r="H6" s="17">
        <v>0.6</v>
      </c>
      <c r="I6" s="32">
        <v>0.6</v>
      </c>
      <c r="J6" s="16">
        <f t="shared" si="0"/>
        <v>0.11309733552923253</v>
      </c>
      <c r="K6" s="17">
        <f t="shared" si="3"/>
        <v>2.2619467105846509E-2</v>
      </c>
      <c r="L6" s="17">
        <f t="shared" si="1"/>
        <v>0.11884697368407744</v>
      </c>
      <c r="M6" s="17">
        <f t="shared" si="4"/>
        <v>2.3379732528015236E-2</v>
      </c>
      <c r="N6" s="17">
        <f t="shared" si="2"/>
        <v>0.11309733552923253</v>
      </c>
      <c r="O6" s="17">
        <f t="shared" si="5"/>
        <v>2.2619467105846509E-2</v>
      </c>
      <c r="P6" s="45">
        <f t="shared" si="6"/>
        <v>2.3379732528015236E-2</v>
      </c>
      <c r="Q6">
        <f t="shared" si="7"/>
        <v>20.327748447982565</v>
      </c>
      <c r="R6">
        <f t="shared" si="8"/>
        <v>0.11501388158084751</v>
      </c>
      <c r="S6" s="20">
        <v>0.14000000000000001</v>
      </c>
      <c r="T6" s="17">
        <v>3</v>
      </c>
      <c r="U6" s="5">
        <f t="shared" si="9"/>
        <v>0.1198317071619408</v>
      </c>
      <c r="V6" s="30">
        <f t="shared" si="10"/>
        <v>4.0204931526031569</v>
      </c>
    </row>
    <row r="7" spans="1:22" x14ac:dyDescent="0.25">
      <c r="A7" s="19">
        <v>0.7</v>
      </c>
      <c r="B7" s="17">
        <v>0.7</v>
      </c>
      <c r="C7" s="32">
        <v>0.7</v>
      </c>
      <c r="D7" s="16">
        <v>0.69</v>
      </c>
      <c r="E7" s="17">
        <v>0.69</v>
      </c>
      <c r="F7" s="32">
        <v>0.69</v>
      </c>
      <c r="G7" s="16">
        <v>0.71</v>
      </c>
      <c r="H7" s="17">
        <v>0.71</v>
      </c>
      <c r="I7" s="32">
        <v>0.71</v>
      </c>
      <c r="J7" s="16">
        <f t="shared" si="0"/>
        <v>0.17959438003021647</v>
      </c>
      <c r="K7" s="17">
        <f t="shared" si="3"/>
        <v>3.0787608005179965E-2</v>
      </c>
      <c r="L7" s="17">
        <f t="shared" si="1"/>
        <v>0.17200691017302153</v>
      </c>
      <c r="M7" s="17">
        <f t="shared" si="4"/>
        <v>2.9914245247482003E-2</v>
      </c>
      <c r="N7" s="17">
        <f t="shared" si="2"/>
        <v>0.18740176137316272</v>
      </c>
      <c r="O7" s="17">
        <f t="shared" si="5"/>
        <v>3.1673537133492288E-2</v>
      </c>
      <c r="P7" s="45">
        <f t="shared" si="6"/>
        <v>3.1673537133492288E-2</v>
      </c>
      <c r="Q7">
        <f t="shared" si="7"/>
        <v>17.628956111208254</v>
      </c>
      <c r="R7">
        <f t="shared" si="8"/>
        <v>0.17966768385880025</v>
      </c>
      <c r="S7" s="20">
        <v>0.16</v>
      </c>
      <c r="T7" s="17">
        <v>5</v>
      </c>
      <c r="U7" s="5">
        <f t="shared" si="9"/>
        <v>0.13716573385634193</v>
      </c>
      <c r="V7" s="30">
        <f t="shared" si="10"/>
        <v>23.655867927735045</v>
      </c>
    </row>
    <row r="8" spans="1:22" x14ac:dyDescent="0.25">
      <c r="A8" s="19">
        <v>0.8</v>
      </c>
      <c r="B8" s="17">
        <v>0.8</v>
      </c>
      <c r="C8" s="32">
        <v>0.8</v>
      </c>
      <c r="D8" s="16">
        <v>0.79</v>
      </c>
      <c r="E8" s="17">
        <v>0.79</v>
      </c>
      <c r="F8" s="32">
        <v>0.79</v>
      </c>
      <c r="G8" s="16">
        <v>0.8</v>
      </c>
      <c r="H8" s="17">
        <v>0.8</v>
      </c>
      <c r="I8" s="32">
        <v>0.8</v>
      </c>
      <c r="J8" s="16">
        <f t="shared" si="0"/>
        <v>0.26808257310632905</v>
      </c>
      <c r="K8" s="17">
        <f t="shared" si="3"/>
        <v>4.0212385965949358E-2</v>
      </c>
      <c r="L8" s="17">
        <f t="shared" si="1"/>
        <v>0.25815461672220963</v>
      </c>
      <c r="M8" s="17">
        <f t="shared" si="4"/>
        <v>3.9213359502107803E-2</v>
      </c>
      <c r="N8" s="17">
        <f t="shared" si="2"/>
        <v>0.26808257310632905</v>
      </c>
      <c r="O8" s="17">
        <f t="shared" si="5"/>
        <v>4.0212385965949358E-2</v>
      </c>
      <c r="P8" s="45">
        <f t="shared" si="6"/>
        <v>4.0212385965949358E-2</v>
      </c>
      <c r="Q8">
        <f t="shared" si="7"/>
        <v>15.187480348230997</v>
      </c>
      <c r="R8">
        <f t="shared" si="8"/>
        <v>0.26477325431162257</v>
      </c>
      <c r="S8" s="20">
        <v>0.25</v>
      </c>
      <c r="T8" s="17">
        <v>7</v>
      </c>
      <c r="U8" s="5">
        <f t="shared" si="9"/>
        <v>0.21516885398114688</v>
      </c>
      <c r="V8" s="30">
        <f t="shared" si="10"/>
        <v>18.734671845704714</v>
      </c>
    </row>
    <row r="9" spans="1:22" x14ac:dyDescent="0.25">
      <c r="A9" s="19">
        <v>1.01</v>
      </c>
      <c r="B9" s="17">
        <v>1.01</v>
      </c>
      <c r="C9" s="32">
        <v>0.89</v>
      </c>
      <c r="D9" s="16">
        <v>1</v>
      </c>
      <c r="E9" s="17">
        <v>1</v>
      </c>
      <c r="F9" s="32">
        <v>0.86</v>
      </c>
      <c r="G9" s="16">
        <v>1.06</v>
      </c>
      <c r="H9" s="17">
        <v>0.87</v>
      </c>
      <c r="I9" s="32">
        <v>0.95</v>
      </c>
      <c r="J9" s="16">
        <f t="shared" si="0"/>
        <v>0.47536956877916392</v>
      </c>
      <c r="K9" s="17">
        <f t="shared" si="3"/>
        <v>5.9017959590337843E-2</v>
      </c>
      <c r="L9" s="17">
        <f t="shared" si="1"/>
        <v>0.45029494701453698</v>
      </c>
      <c r="M9" s="17">
        <f t="shared" si="4"/>
        <v>5.6967546785094907E-2</v>
      </c>
      <c r="N9" s="17">
        <f t="shared" si="2"/>
        <v>0.45871965131391362</v>
      </c>
      <c r="O9" s="17">
        <f t="shared" si="5"/>
        <v>5.7715245836649283E-2</v>
      </c>
      <c r="P9" s="45">
        <f t="shared" si="6"/>
        <v>5.9017959590337843E-2</v>
      </c>
      <c r="Q9">
        <f t="shared" si="7"/>
        <v>12.789360278580125</v>
      </c>
      <c r="R9">
        <f t="shared" si="8"/>
        <v>0.46146138903587147</v>
      </c>
      <c r="S9" s="20">
        <v>0.55000000000000004</v>
      </c>
      <c r="T9" s="17">
        <f>24+3+29/60-13-15/60</f>
        <v>14.233333333333334</v>
      </c>
      <c r="U9" s="5">
        <f t="shared" si="9"/>
        <v>0.47517925439716358</v>
      </c>
      <c r="V9" s="30">
        <f t="shared" si="10"/>
        <v>2.8868822101030656</v>
      </c>
    </row>
    <row r="10" spans="1:22" x14ac:dyDescent="0.25">
      <c r="A10" s="19">
        <v>1.1000000000000001</v>
      </c>
      <c r="B10" s="17">
        <v>1</v>
      </c>
      <c r="C10" s="32">
        <v>0.94</v>
      </c>
      <c r="D10" s="16">
        <v>0.97</v>
      </c>
      <c r="E10" s="17">
        <v>0.9</v>
      </c>
      <c r="F10" s="32">
        <v>1.1399999999999999</v>
      </c>
      <c r="G10" s="16">
        <v>1.03</v>
      </c>
      <c r="H10" s="17">
        <v>1.03</v>
      </c>
      <c r="I10" s="32">
        <v>0.85</v>
      </c>
      <c r="J10" s="16">
        <f t="shared" si="0"/>
        <v>0.54140113396864098</v>
      </c>
      <c r="K10" s="17">
        <f t="shared" si="3"/>
        <v>6.4381705447566814E-2</v>
      </c>
      <c r="L10" s="17">
        <f t="shared" si="1"/>
        <v>0.52109597345093883</v>
      </c>
      <c r="M10" s="17">
        <f t="shared" si="4"/>
        <v>6.2932384036710726E-2</v>
      </c>
      <c r="N10" s="17">
        <f t="shared" si="2"/>
        <v>0.47216304987739993</v>
      </c>
      <c r="O10" s="17">
        <f t="shared" si="5"/>
        <v>5.889229588419425E-2</v>
      </c>
      <c r="P10" s="45">
        <f t="shared" si="6"/>
        <v>6.4381705447566814E-2</v>
      </c>
      <c r="Q10">
        <f t="shared" si="7"/>
        <v>12.585530120420268</v>
      </c>
      <c r="R10">
        <f t="shared" si="8"/>
        <v>0.5115533857656599</v>
      </c>
      <c r="S10" s="20">
        <v>0.62</v>
      </c>
      <c r="T10" s="17">
        <f>24+6+9/60-13-15/60</f>
        <v>16.899999999999999</v>
      </c>
      <c r="U10" s="5">
        <f t="shared" si="9"/>
        <v>0.53584834782756752</v>
      </c>
      <c r="V10" s="30">
        <f t="shared" si="10"/>
        <v>4.5339249734377427</v>
      </c>
    </row>
    <row r="11" spans="1:22" x14ac:dyDescent="0.25">
      <c r="A11" s="19">
        <v>1.0900000000000001</v>
      </c>
      <c r="B11" s="17">
        <v>1.0900000000000001</v>
      </c>
      <c r="C11" s="32">
        <v>0.9</v>
      </c>
      <c r="D11" s="16">
        <v>1.1499999999999999</v>
      </c>
      <c r="E11" s="17">
        <v>0.88</v>
      </c>
      <c r="F11" s="32">
        <v>1.04</v>
      </c>
      <c r="G11" s="16">
        <v>1.1599999999999999</v>
      </c>
      <c r="H11" s="17">
        <v>1.08</v>
      </c>
      <c r="I11" s="32">
        <v>0.94</v>
      </c>
      <c r="J11" s="16">
        <f t="shared" si="0"/>
        <v>0.55987893475950501</v>
      </c>
      <c r="K11" s="17">
        <f t="shared" si="3"/>
        <v>6.5975540120488049E-2</v>
      </c>
      <c r="L11" s="17">
        <f t="shared" si="1"/>
        <v>0.55107723934169761</v>
      </c>
      <c r="M11" s="17">
        <f t="shared" si="4"/>
        <v>6.5412147837944273E-2</v>
      </c>
      <c r="N11" s="17">
        <f t="shared" si="2"/>
        <v>0.61660667330537589</v>
      </c>
      <c r="O11" s="17">
        <f t="shared" si="5"/>
        <v>7.0338165118773055E-2</v>
      </c>
      <c r="P11" s="45">
        <f t="shared" si="6"/>
        <v>7.0338165118773055E-2</v>
      </c>
      <c r="Q11">
        <f t="shared" si="7"/>
        <v>12.214577065783432</v>
      </c>
      <c r="R11">
        <f t="shared" si="8"/>
        <v>0.5758542824688595</v>
      </c>
      <c r="S11" s="20">
        <v>0.75</v>
      </c>
      <c r="T11" s="17">
        <f>24+10+9/60-13-15/60</f>
        <v>20.9</v>
      </c>
      <c r="U11" s="5">
        <f t="shared" si="9"/>
        <v>0.64851952134117474</v>
      </c>
      <c r="V11" s="30">
        <f t="shared" si="10"/>
        <v>11.204788210852843</v>
      </c>
    </row>
    <row r="12" spans="1:22" x14ac:dyDescent="0.25">
      <c r="A12" s="19">
        <v>1.19</v>
      </c>
      <c r="B12" s="17">
        <v>1.19</v>
      </c>
      <c r="C12" s="32">
        <v>0.97</v>
      </c>
      <c r="D12" s="16">
        <v>1.1299999999999999</v>
      </c>
      <c r="E12" s="17">
        <v>1.1399999999999999</v>
      </c>
      <c r="F12" s="32">
        <v>0.9</v>
      </c>
      <c r="G12" s="16">
        <v>1.1399999999999999</v>
      </c>
      <c r="H12" s="17">
        <v>1.1399999999999999</v>
      </c>
      <c r="I12" s="32">
        <v>1.04</v>
      </c>
      <c r="J12" s="16">
        <f t="shared" si="0"/>
        <v>0.71922417934100824</v>
      </c>
      <c r="K12" s="17">
        <f t="shared" si="3"/>
        <v>7.8009934378839338E-2</v>
      </c>
      <c r="L12" s="17">
        <f t="shared" si="1"/>
        <v>0.60704994845315563</v>
      </c>
      <c r="M12" s="17">
        <f t="shared" si="4"/>
        <v>6.9768489650922111E-2</v>
      </c>
      <c r="N12" s="17">
        <f t="shared" si="2"/>
        <v>0.70768772751825104</v>
      </c>
      <c r="O12" s="17">
        <f t="shared" si="5"/>
        <v>7.6881055418649411E-2</v>
      </c>
      <c r="P12" s="45">
        <f t="shared" si="6"/>
        <v>7.8009934378839338E-2</v>
      </c>
      <c r="Q12">
        <f t="shared" si="7"/>
        <v>11.506105806520704</v>
      </c>
      <c r="R12">
        <f t="shared" si="8"/>
        <v>0.6779872851041383</v>
      </c>
      <c r="S12" s="20">
        <v>0.89674762255690799</v>
      </c>
      <c r="T12" s="17">
        <f>24+18+3/60-13-15/60</f>
        <v>28.799999999999997</v>
      </c>
      <c r="U12" s="5">
        <f t="shared" si="9"/>
        <v>0.77570588167824173</v>
      </c>
      <c r="V12" s="30">
        <f t="shared" si="10"/>
        <v>12.597377289790426</v>
      </c>
    </row>
    <row r="13" spans="1:22" x14ac:dyDescent="0.25">
      <c r="A13" s="19">
        <v>1.25</v>
      </c>
      <c r="B13" s="17">
        <v>1.17</v>
      </c>
      <c r="C13" s="32">
        <v>1.17</v>
      </c>
      <c r="D13" s="16">
        <v>1.18</v>
      </c>
      <c r="E13" s="17">
        <v>1.18</v>
      </c>
      <c r="F13" s="32">
        <v>1.18</v>
      </c>
      <c r="G13" s="16">
        <v>1.21</v>
      </c>
      <c r="H13" s="17">
        <v>1.21</v>
      </c>
      <c r="I13" s="32">
        <v>1.21</v>
      </c>
      <c r="J13" s="16">
        <f t="shared" si="0"/>
        <v>0.89594295489563891</v>
      </c>
      <c r="K13" s="17">
        <f t="shared" si="3"/>
        <v>8.9931231301661391E-2</v>
      </c>
      <c r="L13" s="17">
        <f t="shared" si="1"/>
        <v>0.86028954346882391</v>
      </c>
      <c r="M13" s="17">
        <f t="shared" si="4"/>
        <v>8.7487072217168532E-2</v>
      </c>
      <c r="N13" s="17">
        <f t="shared" si="2"/>
        <v>0.92758717049769768</v>
      </c>
      <c r="O13" s="17">
        <f t="shared" si="5"/>
        <v>9.1992116082416309E-2</v>
      </c>
      <c r="P13" s="45">
        <f t="shared" si="6"/>
        <v>9.1992116082416309E-2</v>
      </c>
      <c r="Q13">
        <f t="shared" si="7"/>
        <v>10.282969137201853</v>
      </c>
      <c r="R13">
        <f t="shared" si="8"/>
        <v>0.89460655628738683</v>
      </c>
      <c r="S13" s="20">
        <v>1.18775370470973</v>
      </c>
      <c r="T13" s="17">
        <f>24*2+4+30/60-13-15/60</f>
        <v>39.25</v>
      </c>
      <c r="U13" s="5">
        <f t="shared" si="9"/>
        <v>1.0279212414917469</v>
      </c>
      <c r="V13" s="30">
        <f t="shared" si="10"/>
        <v>12.96934821688189</v>
      </c>
    </row>
    <row r="14" spans="1:22" x14ac:dyDescent="0.25">
      <c r="A14" s="19">
        <v>1.24</v>
      </c>
      <c r="B14" s="17">
        <v>1.24</v>
      </c>
      <c r="C14" s="32">
        <v>1.31</v>
      </c>
      <c r="D14" s="16">
        <v>1.22</v>
      </c>
      <c r="E14" s="17">
        <v>1.22</v>
      </c>
      <c r="F14" s="32">
        <v>1.37</v>
      </c>
      <c r="G14" s="16">
        <v>1.31</v>
      </c>
      <c r="H14" s="17">
        <v>1.26</v>
      </c>
      <c r="I14" s="32">
        <v>1.19</v>
      </c>
      <c r="J14" s="16">
        <f t="shared" si="0"/>
        <v>1.0546619753415269</v>
      </c>
      <c r="K14" s="17">
        <f t="shared" si="3"/>
        <v>0.1002461271809479</v>
      </c>
      <c r="L14" s="17">
        <f t="shared" si="1"/>
        <v>1.0676744521126957</v>
      </c>
      <c r="M14" s="17">
        <f t="shared" si="4"/>
        <v>0.10118441618682004</v>
      </c>
      <c r="N14" s="17">
        <f t="shared" si="2"/>
        <v>1.0284600454130368</v>
      </c>
      <c r="O14" s="17">
        <f t="shared" si="5"/>
        <v>9.8622970976593172E-2</v>
      </c>
      <c r="P14" s="45">
        <f t="shared" si="6"/>
        <v>0.10118441618682004</v>
      </c>
      <c r="Q14">
        <f t="shared" si="7"/>
        <v>9.6341750784119462</v>
      </c>
      <c r="R14">
        <f t="shared" si="8"/>
        <v>1.0502654909557532</v>
      </c>
      <c r="S14" s="20">
        <v>1.33513524956024</v>
      </c>
      <c r="T14" s="17">
        <f>24*2+13+12/60-13-15/60</f>
        <v>47.95</v>
      </c>
      <c r="U14" s="5">
        <f t="shared" si="9"/>
        <v>1.1556570231267875</v>
      </c>
      <c r="V14" s="30">
        <f t="shared" si="10"/>
        <v>9.1196202733128562</v>
      </c>
    </row>
    <row r="15" spans="1:22" x14ac:dyDescent="0.25">
      <c r="A15" s="19">
        <v>1.37</v>
      </c>
      <c r="B15" s="17">
        <v>1.31</v>
      </c>
      <c r="C15" s="32">
        <v>1.23</v>
      </c>
      <c r="D15" s="16">
        <v>1.32</v>
      </c>
      <c r="E15" s="17">
        <v>1.32</v>
      </c>
      <c r="F15" s="32">
        <v>1.27</v>
      </c>
      <c r="G15" s="16">
        <v>1.31</v>
      </c>
      <c r="H15" s="17">
        <v>1.31</v>
      </c>
      <c r="I15" s="32">
        <v>1.27</v>
      </c>
      <c r="J15" s="16">
        <f t="shared" si="0"/>
        <v>1.1558343487565084</v>
      </c>
      <c r="K15" s="17">
        <f t="shared" si="3"/>
        <v>0.10662774905793997</v>
      </c>
      <c r="L15" s="17">
        <f t="shared" si="1"/>
        <v>1.1586445033851445</v>
      </c>
      <c r="M15" s="17">
        <f t="shared" si="4"/>
        <v>0.10671361925713808</v>
      </c>
      <c r="N15" s="17">
        <f t="shared" si="2"/>
        <v>1.1411557806813857</v>
      </c>
      <c r="O15" s="17">
        <f t="shared" si="5"/>
        <v>0.10563081698920082</v>
      </c>
      <c r="P15" s="45">
        <f t="shared" si="6"/>
        <v>0.10671361925713808</v>
      </c>
      <c r="Q15">
        <f t="shared" si="7"/>
        <v>9.2643144252168543</v>
      </c>
      <c r="R15">
        <f t="shared" si="8"/>
        <v>1.1518782109410128</v>
      </c>
      <c r="S15" s="20">
        <v>1.46159602225611</v>
      </c>
      <c r="T15" s="17">
        <f>24*2+19+7/60-13-15/60</f>
        <v>53.86666666666666</v>
      </c>
      <c r="U15" s="5">
        <f t="shared" si="9"/>
        <v>1.2652607436120276</v>
      </c>
      <c r="V15" s="30">
        <f t="shared" si="10"/>
        <v>8.9611989657826374</v>
      </c>
    </row>
    <row r="16" spans="1:22" x14ac:dyDescent="0.25">
      <c r="A16" s="19">
        <v>1.4</v>
      </c>
      <c r="B16" s="17">
        <v>1.34</v>
      </c>
      <c r="C16" s="32">
        <v>1.34</v>
      </c>
      <c r="D16" s="16">
        <v>1.35</v>
      </c>
      <c r="E16" s="17">
        <v>1.32</v>
      </c>
      <c r="F16" s="32">
        <v>1.38</v>
      </c>
      <c r="G16" s="16">
        <v>1.39</v>
      </c>
      <c r="H16" s="17">
        <v>1.33</v>
      </c>
      <c r="I16" s="32">
        <v>1.35</v>
      </c>
      <c r="J16" s="16">
        <f t="shared" si="0"/>
        <v>1.3162435460500277</v>
      </c>
      <c r="K16" s="17">
        <f t="shared" si="3"/>
        <v>0.1161886627003649</v>
      </c>
      <c r="L16" s="17">
        <f t="shared" si="1"/>
        <v>1.2876131650003126</v>
      </c>
      <c r="M16" s="17">
        <f t="shared" si="4"/>
        <v>0.11449220266742641</v>
      </c>
      <c r="N16" s="17">
        <f t="shared" si="2"/>
        <v>1.3067690262055764</v>
      </c>
      <c r="O16" s="17">
        <f t="shared" si="5"/>
        <v>0.11562527041782114</v>
      </c>
      <c r="P16" s="45">
        <f t="shared" si="6"/>
        <v>0.1161886627003649</v>
      </c>
      <c r="Q16">
        <f t="shared" si="7"/>
        <v>8.9133047118357904</v>
      </c>
      <c r="R16">
        <f t="shared" si="8"/>
        <v>1.3035419124186389</v>
      </c>
      <c r="S16" s="20">
        <v>1.6612352649281401</v>
      </c>
      <c r="T16" s="17">
        <f>24*3+13+26/60-13-15/60</f>
        <v>72.183333333333337</v>
      </c>
      <c r="U16" s="5">
        <f t="shared" si="9"/>
        <v>1.4382883416983772</v>
      </c>
      <c r="V16" s="30">
        <f t="shared" si="10"/>
        <v>9.3685268366025483</v>
      </c>
    </row>
    <row r="17" spans="1:22" x14ac:dyDescent="0.25">
      <c r="A17" s="19">
        <v>1.43</v>
      </c>
      <c r="B17" s="17">
        <v>1.36</v>
      </c>
      <c r="C17" s="32">
        <v>1.36</v>
      </c>
      <c r="D17" s="16">
        <v>1.4</v>
      </c>
      <c r="E17" s="17">
        <v>1.37</v>
      </c>
      <c r="F17" s="32">
        <v>1.37</v>
      </c>
      <c r="G17" s="16">
        <v>1.39</v>
      </c>
      <c r="H17" s="17">
        <v>1.37</v>
      </c>
      <c r="I17" s="32">
        <v>1.37</v>
      </c>
      <c r="J17" s="16">
        <f t="shared" si="0"/>
        <v>1.3848810623456576</v>
      </c>
      <c r="K17" s="17">
        <f t="shared" si="3"/>
        <v>0.12020152371655027</v>
      </c>
      <c r="L17" s="17">
        <f t="shared" si="1"/>
        <v>1.3758395586886261</v>
      </c>
      <c r="M17" s="17">
        <f t="shared" si="4"/>
        <v>0.11965069780462086</v>
      </c>
      <c r="N17" s="17">
        <f t="shared" si="2"/>
        <v>1.3660121332694215</v>
      </c>
      <c r="O17" s="17">
        <f t="shared" si="5"/>
        <v>0.11907683354656512</v>
      </c>
      <c r="P17" s="45">
        <f t="shared" si="6"/>
        <v>0.12020152371655027</v>
      </c>
      <c r="Q17">
        <f t="shared" si="7"/>
        <v>8.7382583903351136</v>
      </c>
      <c r="R17">
        <f t="shared" si="8"/>
        <v>1.3755775847679017</v>
      </c>
      <c r="S17" s="20">
        <v>1.70714054909642</v>
      </c>
      <c r="T17" s="17">
        <f>24*3+18+56/60-13-15/60</f>
        <v>77.683333333333337</v>
      </c>
      <c r="U17" s="5">
        <f t="shared" si="9"/>
        <v>1.4780745127577288</v>
      </c>
      <c r="V17" s="30">
        <f t="shared" si="10"/>
        <v>6.9344899127306308</v>
      </c>
    </row>
    <row r="18" spans="1:22" x14ac:dyDescent="0.25">
      <c r="A18" s="19">
        <v>1.46</v>
      </c>
      <c r="B18" s="17">
        <v>1.41</v>
      </c>
      <c r="C18" s="32">
        <v>1.34</v>
      </c>
      <c r="D18" s="16">
        <v>1.39</v>
      </c>
      <c r="E18" s="17">
        <v>1.39</v>
      </c>
      <c r="F18" s="32">
        <v>1.39</v>
      </c>
      <c r="G18" s="16">
        <v>1.42</v>
      </c>
      <c r="H18" s="17">
        <v>1.38</v>
      </c>
      <c r="I18" s="32">
        <v>1.36</v>
      </c>
      <c r="J18" s="16">
        <f t="shared" si="0"/>
        <v>1.4443597888585216</v>
      </c>
      <c r="K18" s="17">
        <f t="shared" si="3"/>
        <v>0.12366146442570382</v>
      </c>
      <c r="L18" s="17">
        <f t="shared" si="1"/>
        <v>1.4061868201235275</v>
      </c>
      <c r="M18" s="17">
        <f t="shared" si="4"/>
        <v>0.12139742332001675</v>
      </c>
      <c r="N18" s="17">
        <f t="shared" si="2"/>
        <v>1.3954200585008998</v>
      </c>
      <c r="O18" s="17">
        <f t="shared" si="5"/>
        <v>0.12079633192562993</v>
      </c>
      <c r="P18" s="45">
        <f t="shared" si="6"/>
        <v>0.12366146442570382</v>
      </c>
      <c r="Q18">
        <f t="shared" si="7"/>
        <v>8.7373364496296126</v>
      </c>
      <c r="R18">
        <f t="shared" si="8"/>
        <v>1.4153222224943163</v>
      </c>
      <c r="S18" s="20">
        <v>1.7673410340107101</v>
      </c>
      <c r="T18" s="17">
        <f>24*4+16+48/60-13-15/60</f>
        <v>99.55</v>
      </c>
      <c r="U18" s="5">
        <f t="shared" si="9"/>
        <v>1.5302503533837386</v>
      </c>
      <c r="V18" s="30">
        <f t="shared" si="10"/>
        <v>7.5104136153466365</v>
      </c>
    </row>
    <row r="19" spans="1:22" x14ac:dyDescent="0.25">
      <c r="A19" s="19">
        <v>1.43</v>
      </c>
      <c r="B19" s="17">
        <v>1.45</v>
      </c>
      <c r="C19" s="32">
        <v>1.41</v>
      </c>
      <c r="D19" s="16">
        <v>1.43</v>
      </c>
      <c r="E19" s="17">
        <v>1.39</v>
      </c>
      <c r="F19" s="32">
        <v>1.39</v>
      </c>
      <c r="G19" s="16">
        <v>1.4</v>
      </c>
      <c r="H19" s="17">
        <v>1.4</v>
      </c>
      <c r="I19" s="32">
        <v>1.4</v>
      </c>
      <c r="J19" s="16">
        <f t="shared" si="0"/>
        <v>1.5308117062963325</v>
      </c>
      <c r="K19" s="17">
        <f t="shared" si="3"/>
        <v>0.12847647876610577</v>
      </c>
      <c r="L19" s="17">
        <f t="shared" si="1"/>
        <v>1.4466526278968663</v>
      </c>
      <c r="M19" s="17">
        <f t="shared" si="4"/>
        <v>0.12372639067387799</v>
      </c>
      <c r="N19" s="17">
        <f t="shared" si="2"/>
        <v>1.4367550402417317</v>
      </c>
      <c r="O19" s="17">
        <f t="shared" si="5"/>
        <v>0.12315043202071986</v>
      </c>
      <c r="P19" s="45">
        <f t="shared" si="6"/>
        <v>0.12847647876610577</v>
      </c>
      <c r="Q19">
        <f t="shared" si="7"/>
        <v>8.7315423997851624</v>
      </c>
      <c r="R19">
        <f t="shared" si="8"/>
        <v>1.4714064581449768</v>
      </c>
      <c r="S19" s="20">
        <v>1.78165844692677</v>
      </c>
      <c r="T19" s="17">
        <f>24*5+15+20/60-13-15/60</f>
        <v>122.08333333333334</v>
      </c>
      <c r="U19" s="5">
        <f t="shared" si="9"/>
        <v>1.542659274267826</v>
      </c>
      <c r="V19" s="30">
        <f t="shared" si="10"/>
        <v>4.6188304385404253</v>
      </c>
    </row>
    <row r="20" spans="1:22" ht="15.75" thickBot="1" x14ac:dyDescent="0.3">
      <c r="A20" s="21">
        <v>1.44</v>
      </c>
      <c r="B20" s="28">
        <v>1.44</v>
      </c>
      <c r="C20" s="34">
        <v>1.44</v>
      </c>
      <c r="D20" s="35">
        <v>1.42</v>
      </c>
      <c r="E20" s="28">
        <v>1.42</v>
      </c>
      <c r="F20" s="34">
        <v>1.42</v>
      </c>
      <c r="G20" s="35">
        <v>1.41</v>
      </c>
      <c r="H20" s="28">
        <v>1.41</v>
      </c>
      <c r="I20" s="34">
        <v>1.41</v>
      </c>
      <c r="J20" s="35">
        <f t="shared" si="0"/>
        <v>1.5634575663561106</v>
      </c>
      <c r="K20" s="28">
        <f t="shared" si="3"/>
        <v>0.13028813052967589</v>
      </c>
      <c r="L20" s="28">
        <f t="shared" si="1"/>
        <v>1.4992140909853018</v>
      </c>
      <c r="M20" s="28">
        <f t="shared" si="4"/>
        <v>0.12669414853396915</v>
      </c>
      <c r="N20" s="28">
        <f t="shared" si="2"/>
        <v>1.4677630833314383</v>
      </c>
      <c r="O20" s="28">
        <f t="shared" si="5"/>
        <v>0.12491600709203733</v>
      </c>
      <c r="P20" s="46">
        <f t="shared" si="6"/>
        <v>0.13028813052967589</v>
      </c>
      <c r="Q20" s="8">
        <f t="shared" si="7"/>
        <v>8.6275250381595239</v>
      </c>
      <c r="R20" s="8">
        <f t="shared" si="8"/>
        <v>1.5101449135576168</v>
      </c>
      <c r="S20" s="22">
        <v>1.78643000275829</v>
      </c>
      <c r="T20" s="28">
        <f>24*7+13+42/60-13-15/60</f>
        <v>168.45</v>
      </c>
      <c r="U20" s="9">
        <f t="shared" si="9"/>
        <v>1.5467947880756956</v>
      </c>
      <c r="V20" s="31">
        <f t="shared" si="10"/>
        <v>2.369407681006825</v>
      </c>
    </row>
  </sheetData>
  <mergeCells count="3">
    <mergeCell ref="A1:C1"/>
    <mergeCell ref="D1:F1"/>
    <mergeCell ref="G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topLeftCell="F1" workbookViewId="0">
      <selection activeCell="V9" sqref="V9"/>
    </sheetView>
  </sheetViews>
  <sheetFormatPr baseColWidth="10" defaultRowHeight="15" x14ac:dyDescent="0.25"/>
  <cols>
    <col min="22" max="22" width="15" bestFit="1" customWidth="1"/>
  </cols>
  <sheetData>
    <row r="1" spans="1:22" ht="15.75" thickBot="1" x14ac:dyDescent="0.3">
      <c r="A1" s="67" t="s">
        <v>6</v>
      </c>
      <c r="B1" s="68"/>
      <c r="C1" s="69"/>
      <c r="D1" s="70" t="s">
        <v>7</v>
      </c>
      <c r="E1" s="68"/>
      <c r="F1" s="69"/>
      <c r="G1" s="70" t="s">
        <v>8</v>
      </c>
      <c r="H1" s="68"/>
      <c r="I1" s="68"/>
      <c r="J1" s="26" t="s">
        <v>0</v>
      </c>
      <c r="K1" s="24" t="s">
        <v>13</v>
      </c>
      <c r="L1" s="36" t="s">
        <v>1</v>
      </c>
      <c r="M1" s="24" t="s">
        <v>14</v>
      </c>
      <c r="N1" s="36" t="s">
        <v>2</v>
      </c>
      <c r="O1" s="25" t="s">
        <v>15</v>
      </c>
      <c r="P1" s="12" t="s">
        <v>12</v>
      </c>
      <c r="Q1" s="36" t="s">
        <v>9</v>
      </c>
      <c r="R1" s="36" t="s">
        <v>4</v>
      </c>
      <c r="S1" s="18" t="s">
        <v>10</v>
      </c>
      <c r="T1" s="18" t="s">
        <v>5</v>
      </c>
      <c r="U1" s="14" t="s">
        <v>3</v>
      </c>
      <c r="V1" s="74" t="s">
        <v>18</v>
      </c>
    </row>
    <row r="2" spans="1:22" x14ac:dyDescent="0.25">
      <c r="A2" s="47">
        <v>0.28000000000000003</v>
      </c>
      <c r="B2" s="38">
        <v>0.28000000000000003</v>
      </c>
      <c r="C2" s="39">
        <v>0.28000000000000003</v>
      </c>
      <c r="D2" s="37">
        <v>0.28000000000000003</v>
      </c>
      <c r="E2" s="38">
        <v>0.28000000000000003</v>
      </c>
      <c r="F2" s="39">
        <v>0.28000000000000003</v>
      </c>
      <c r="G2" s="37">
        <v>0.28000000000000003</v>
      </c>
      <c r="H2" s="38">
        <v>0.28000000000000003</v>
      </c>
      <c r="I2" s="38">
        <v>0.28000000000000003</v>
      </c>
      <c r="J2" s="40">
        <f>4/3*PI()*A2*B2*C2/8</f>
        <v>1.149404032193386E-2</v>
      </c>
      <c r="K2" s="41">
        <f>4/3*PI()*1/200*(A2*B2+B2*C2+A2*C2)</f>
        <v>4.9260172808287955E-3</v>
      </c>
      <c r="L2" s="41">
        <f t="shared" ref="L2:L19" si="0">4/3*PI()*D2*E2*F2/8</f>
        <v>1.149404032193386E-2</v>
      </c>
      <c r="M2" s="41">
        <f>4/3*PI()*1/200*(D2*E2+E2*F2+D2*F2)</f>
        <v>4.9260172808287955E-3</v>
      </c>
      <c r="N2" s="41">
        <f t="shared" ref="N2:N19" si="1">4/3*PI()*G2*H2*I2/8</f>
        <v>1.149404032193386E-2</v>
      </c>
      <c r="O2" s="44">
        <f>4/3*PI()*1/200*(G2*H2+H2*I2+G2*I2)</f>
        <v>4.9260172808287955E-3</v>
      </c>
      <c r="P2" s="23">
        <f>MAX(K2,M2,O2)</f>
        <v>4.9260172808287955E-3</v>
      </c>
      <c r="Q2" s="2">
        <f>P2/R2*100</f>
        <v>42.857142857142847</v>
      </c>
      <c r="R2" s="2">
        <f>AVERAGE(J2,L2,N2)</f>
        <v>1.149404032193386E-2</v>
      </c>
      <c r="S2" s="48">
        <v>1.4999999999999999E-2</v>
      </c>
      <c r="T2" s="48">
        <v>0</v>
      </c>
      <c r="U2" s="29">
        <f>(S2-$S$2)/1.18+$N$2</f>
        <v>1.149404032193386E-2</v>
      </c>
      <c r="V2" s="30">
        <f>ABS(U2-R2)/MAX(R2,U2)*100</f>
        <v>0</v>
      </c>
    </row>
    <row r="3" spans="1:22" x14ac:dyDescent="0.25">
      <c r="A3" s="19">
        <v>0.46</v>
      </c>
      <c r="B3" s="17">
        <v>0.46</v>
      </c>
      <c r="C3" s="32">
        <v>0.46</v>
      </c>
      <c r="D3" s="16">
        <v>0.47</v>
      </c>
      <c r="E3" s="17">
        <v>0.47</v>
      </c>
      <c r="F3" s="32">
        <v>0.47</v>
      </c>
      <c r="G3" s="16">
        <v>0.48</v>
      </c>
      <c r="H3" s="17">
        <v>0.48</v>
      </c>
      <c r="I3" s="17">
        <v>0.48</v>
      </c>
      <c r="J3" s="19">
        <f t="shared" ref="J3:J19" si="2">4/3*PI()*A3*B3*C3/8</f>
        <v>5.0965010421636016E-2</v>
      </c>
      <c r="K3" s="17">
        <f t="shared" ref="K3:K19" si="3">4/3*PI()*1/200*(A3*B3+B3*C3+A3*C3)</f>
        <v>1.3295220109992003E-2</v>
      </c>
      <c r="L3" s="17">
        <f t="shared" si="0"/>
        <v>5.4361595678942165E-2</v>
      </c>
      <c r="M3" s="17">
        <f t="shared" ref="M3:M19" si="4">4/3*PI()*1/200*(D3*E3+E3*F3+D3*F3)</f>
        <v>1.3879556343559704E-2</v>
      </c>
      <c r="N3" s="17">
        <f t="shared" si="1"/>
        <v>5.7905835790967058E-2</v>
      </c>
      <c r="O3" s="20">
        <f t="shared" ref="O3:O19" si="5">4/3*PI()*1/200*(G3*H3+H3*I3+G3*I3)</f>
        <v>1.4476458947741766E-2</v>
      </c>
      <c r="P3" s="45">
        <f t="shared" ref="P3:P19" si="6">MAX(K3,M3,O3)</f>
        <v>1.4476458947741766E-2</v>
      </c>
      <c r="Q3">
        <f t="shared" ref="Q3:Q19" si="7">P3/R3*100</f>
        <v>26.605848898640268</v>
      </c>
      <c r="R3">
        <f t="shared" ref="R3:R19" si="8">AVERAGE(J3,L3,N3)</f>
        <v>5.4410813963848413E-2</v>
      </c>
      <c r="S3" s="20">
        <v>5.9797608095676101E-2</v>
      </c>
      <c r="T3" s="20">
        <f>13+23/60-10-41/60</f>
        <v>2.6999999999999993</v>
      </c>
      <c r="U3" s="30">
        <f t="shared" ref="U3:U19" si="9">(S3-$S$2)/1.18+$N$2</f>
        <v>4.945811497928649E-2</v>
      </c>
      <c r="V3" s="30">
        <f t="shared" ref="V3:V19" si="10">ABS(U3-R3)/MAX(R3,U3)*100</f>
        <v>9.1024166406563793</v>
      </c>
    </row>
    <row r="4" spans="1:22" x14ac:dyDescent="0.25">
      <c r="A4" s="19">
        <v>0.52</v>
      </c>
      <c r="B4" s="17">
        <v>0.52</v>
      </c>
      <c r="C4" s="32">
        <v>0.52</v>
      </c>
      <c r="D4" s="16">
        <v>0.53</v>
      </c>
      <c r="E4" s="17">
        <v>0.53</v>
      </c>
      <c r="F4" s="32">
        <v>0.53</v>
      </c>
      <c r="G4" s="16">
        <v>0.54</v>
      </c>
      <c r="H4" s="17">
        <v>0.54</v>
      </c>
      <c r="I4" s="17">
        <v>0.54</v>
      </c>
      <c r="J4" s="19">
        <f t="shared" si="2"/>
        <v>7.3622176639325618E-2</v>
      </c>
      <c r="K4" s="17">
        <f t="shared" si="3"/>
        <v>1.6989733070613602E-2</v>
      </c>
      <c r="L4" s="17">
        <f t="shared" si="0"/>
        <v>7.7951814914747952E-2</v>
      </c>
      <c r="M4" s="17">
        <f t="shared" si="4"/>
        <v>1.764946752786746E-2</v>
      </c>
      <c r="N4" s="17">
        <f t="shared" si="1"/>
        <v>8.2447957600810556E-2</v>
      </c>
      <c r="O4" s="20">
        <f t="shared" si="5"/>
        <v>1.8321768355735672E-2</v>
      </c>
      <c r="P4" s="45">
        <f t="shared" si="6"/>
        <v>1.8321768355735672E-2</v>
      </c>
      <c r="Q4">
        <f t="shared" si="7"/>
        <v>23.487243511004603</v>
      </c>
      <c r="R4">
        <f t="shared" si="8"/>
        <v>7.8007316384961375E-2</v>
      </c>
      <c r="S4" s="20">
        <v>8.6476540938362406E-2</v>
      </c>
      <c r="T4" s="20">
        <f>15+11/60-10-41/60</f>
        <v>4.5</v>
      </c>
      <c r="U4" s="30">
        <f t="shared" si="9"/>
        <v>7.2067380100207093E-2</v>
      </c>
      <c r="V4" s="30">
        <f t="shared" si="10"/>
        <v>7.6145886822218785</v>
      </c>
    </row>
    <row r="5" spans="1:22" x14ac:dyDescent="0.25">
      <c r="A5" s="19">
        <v>0.9</v>
      </c>
      <c r="B5" s="17">
        <v>0.86</v>
      </c>
      <c r="C5" s="32">
        <v>0.86</v>
      </c>
      <c r="D5" s="16">
        <v>0.95</v>
      </c>
      <c r="E5" s="17">
        <v>0.8</v>
      </c>
      <c r="F5" s="32">
        <v>0.83</v>
      </c>
      <c r="G5" s="16">
        <v>0.92</v>
      </c>
      <c r="H5" s="17">
        <v>0.92</v>
      </c>
      <c r="I5" s="17">
        <v>0.83</v>
      </c>
      <c r="J5" s="19">
        <f t="shared" si="2"/>
        <v>0.34852828898925164</v>
      </c>
      <c r="K5" s="17">
        <f t="shared" si="3"/>
        <v>4.7911382362346731E-2</v>
      </c>
      <c r="L5" s="17">
        <f t="shared" si="0"/>
        <v>0.33028610764740685</v>
      </c>
      <c r="M5" s="17">
        <f t="shared" si="4"/>
        <v>4.6338491640449446E-2</v>
      </c>
      <c r="N5" s="17">
        <f t="shared" si="1"/>
        <v>0.36783442304311209</v>
      </c>
      <c r="O5" s="20">
        <f t="shared" si="5"/>
        <v>4.9712562150404878E-2</v>
      </c>
      <c r="P5" s="45">
        <f t="shared" si="6"/>
        <v>4.9712562150404878E-2</v>
      </c>
      <c r="Q5">
        <f t="shared" si="7"/>
        <v>14.249066510851685</v>
      </c>
      <c r="R5">
        <f t="shared" si="8"/>
        <v>0.34888293989325686</v>
      </c>
      <c r="S5" s="20">
        <v>0.34222631094756201</v>
      </c>
      <c r="T5" s="20">
        <f>24+10+20/60-10-41/60</f>
        <v>23.650000000000002</v>
      </c>
      <c r="U5" s="30">
        <f t="shared" si="9"/>
        <v>0.28880447332834236</v>
      </c>
      <c r="V5" s="30">
        <f t="shared" si="10"/>
        <v>17.220236272744067</v>
      </c>
    </row>
    <row r="6" spans="1:22" x14ac:dyDescent="0.25">
      <c r="A6" s="19">
        <v>0.98</v>
      </c>
      <c r="B6" s="17">
        <v>0.83</v>
      </c>
      <c r="C6" s="32">
        <v>0.98</v>
      </c>
      <c r="D6" s="16">
        <v>0.84</v>
      </c>
      <c r="E6" s="17">
        <v>0.89</v>
      </c>
      <c r="F6" s="32">
        <v>1.02</v>
      </c>
      <c r="G6" s="16">
        <v>0.84</v>
      </c>
      <c r="H6" s="17">
        <v>0.85</v>
      </c>
      <c r="I6" s="17">
        <v>0.9</v>
      </c>
      <c r="J6" s="19">
        <f t="shared" si="2"/>
        <v>0.41737733919022313</v>
      </c>
      <c r="K6" s="17">
        <f t="shared" si="3"/>
        <v>5.4186190089116744E-2</v>
      </c>
      <c r="L6" s="17">
        <f t="shared" si="0"/>
        <v>0.39927129353003393</v>
      </c>
      <c r="M6" s="17">
        <f t="shared" si="4"/>
        <v>5.2615393762321848E-2</v>
      </c>
      <c r="N6" s="17">
        <f t="shared" si="1"/>
        <v>0.33646457319946682</v>
      </c>
      <c r="O6" s="20">
        <f t="shared" si="5"/>
        <v>4.6809730538487922E-2</v>
      </c>
      <c r="P6" s="45">
        <f t="shared" si="6"/>
        <v>5.4186190089116744E-2</v>
      </c>
      <c r="Q6">
        <f t="shared" si="7"/>
        <v>14.097364372624055</v>
      </c>
      <c r="R6">
        <f t="shared" si="8"/>
        <v>0.384371068639908</v>
      </c>
      <c r="S6" s="20">
        <v>0.42318307267709199</v>
      </c>
      <c r="T6" s="20">
        <f>24+15+1/60-10-41/60</f>
        <v>28.333333333333332</v>
      </c>
      <c r="U6" s="30">
        <f t="shared" si="9"/>
        <v>0.35741189852285926</v>
      </c>
      <c r="V6" s="30">
        <f t="shared" si="10"/>
        <v>7.0138395723807738</v>
      </c>
    </row>
    <row r="7" spans="1:22" x14ac:dyDescent="0.25">
      <c r="A7" s="19">
        <v>1</v>
      </c>
      <c r="B7" s="17">
        <v>1</v>
      </c>
      <c r="C7" s="32">
        <v>0.98</v>
      </c>
      <c r="D7" s="16">
        <v>1.1000000000000001</v>
      </c>
      <c r="E7" s="17">
        <v>1</v>
      </c>
      <c r="F7" s="32">
        <v>0.92</v>
      </c>
      <c r="G7" s="16">
        <v>1.2</v>
      </c>
      <c r="H7" s="17">
        <v>1</v>
      </c>
      <c r="I7" s="17">
        <v>1</v>
      </c>
      <c r="J7" s="19">
        <f t="shared" si="2"/>
        <v>0.51312680008633282</v>
      </c>
      <c r="K7" s="17">
        <f t="shared" si="3"/>
        <v>6.1994095030838581E-2</v>
      </c>
      <c r="L7" s="17">
        <f t="shared" si="0"/>
        <v>0.52988196090547846</v>
      </c>
      <c r="M7" s="17">
        <f t="shared" si="4"/>
        <v>6.3502059504561684E-2</v>
      </c>
      <c r="N7" s="17">
        <f t="shared" si="1"/>
        <v>0.62831853071795851</v>
      </c>
      <c r="O7" s="20">
        <f t="shared" si="5"/>
        <v>7.1209433481368642E-2</v>
      </c>
      <c r="P7" s="45">
        <f t="shared" si="6"/>
        <v>7.1209433481368642E-2</v>
      </c>
      <c r="Q7">
        <f t="shared" si="7"/>
        <v>12.781954887218044</v>
      </c>
      <c r="R7">
        <f t="shared" si="8"/>
        <v>0.55710909723658997</v>
      </c>
      <c r="S7" s="20">
        <v>0.69181232750689903</v>
      </c>
      <c r="T7" s="20">
        <f>24*2+10+10/60-10-41/60</f>
        <v>47.483333333333334</v>
      </c>
      <c r="U7" s="30">
        <f t="shared" si="9"/>
        <v>0.58506380939557712</v>
      </c>
      <c r="V7" s="30">
        <f t="shared" si="10"/>
        <v>4.7780621036647011</v>
      </c>
    </row>
    <row r="8" spans="1:22" x14ac:dyDescent="0.25">
      <c r="A8" s="19">
        <v>1.19</v>
      </c>
      <c r="B8" s="17">
        <v>0.98</v>
      </c>
      <c r="C8" s="32">
        <v>1.03</v>
      </c>
      <c r="D8" s="16">
        <v>1.21</v>
      </c>
      <c r="E8" s="17">
        <v>0.94</v>
      </c>
      <c r="F8" s="32">
        <v>0.94</v>
      </c>
      <c r="G8" s="16">
        <v>1.1499999999999999</v>
      </c>
      <c r="H8" s="17">
        <v>1.1499999999999999</v>
      </c>
      <c r="I8" s="17">
        <v>0.95</v>
      </c>
      <c r="J8" s="19">
        <f t="shared" si="2"/>
        <v>0.628939518865818</v>
      </c>
      <c r="K8" s="17">
        <f t="shared" si="3"/>
        <v>7.1236660617699746E-2</v>
      </c>
      <c r="L8" s="17">
        <f t="shared" si="0"/>
        <v>0.55980877252357464</v>
      </c>
      <c r="M8" s="17">
        <f t="shared" si="4"/>
        <v>6.6149374913986675E-2</v>
      </c>
      <c r="N8" s="17">
        <f t="shared" si="1"/>
        <v>0.65783641169231255</v>
      </c>
      <c r="O8" s="20">
        <f t="shared" si="5"/>
        <v>7.3460908216441315E-2</v>
      </c>
      <c r="P8" s="45">
        <f t="shared" si="6"/>
        <v>7.3460908216441315E-2</v>
      </c>
      <c r="Q8">
        <f t="shared" si="7"/>
        <v>11.934612275382461</v>
      </c>
      <c r="R8">
        <f t="shared" si="8"/>
        <v>0.61552823436056836</v>
      </c>
      <c r="S8" s="20">
        <v>0.78564857405703703</v>
      </c>
      <c r="T8" s="20">
        <f>24*2+16+16/60-10-41/60</f>
        <v>53.583333333333336</v>
      </c>
      <c r="U8" s="30">
        <f t="shared" si="9"/>
        <v>0.66458605223467715</v>
      </c>
      <c r="V8" s="30">
        <f t="shared" si="10"/>
        <v>7.38171042096827</v>
      </c>
    </row>
    <row r="9" spans="1:22" x14ac:dyDescent="0.25">
      <c r="A9" s="19">
        <v>1.1100000000000001</v>
      </c>
      <c r="B9" s="17">
        <v>1.1399999999999999</v>
      </c>
      <c r="C9" s="32">
        <v>1.01</v>
      </c>
      <c r="D9" s="16">
        <v>1.29</v>
      </c>
      <c r="E9" s="17">
        <v>1.05</v>
      </c>
      <c r="F9" s="32">
        <v>1.05</v>
      </c>
      <c r="G9" s="16">
        <v>1.26</v>
      </c>
      <c r="H9" s="17">
        <v>1.07</v>
      </c>
      <c r="I9" s="17">
        <v>1.07</v>
      </c>
      <c r="J9" s="19">
        <f t="shared" si="2"/>
        <v>0.66918750954850825</v>
      </c>
      <c r="K9" s="17">
        <f t="shared" si="3"/>
        <v>7.4097604327568858E-2</v>
      </c>
      <c r="L9" s="17">
        <f t="shared" si="0"/>
        <v>0.74467526862529054</v>
      </c>
      <c r="M9" s="17">
        <f t="shared" si="4"/>
        <v>7.9827869327716627E-2</v>
      </c>
      <c r="N9" s="17">
        <f t="shared" si="1"/>
        <v>0.75532998010994046</v>
      </c>
      <c r="O9" s="20">
        <f t="shared" si="5"/>
        <v>8.0451999068229821E-2</v>
      </c>
      <c r="P9" s="45">
        <f t="shared" si="6"/>
        <v>8.0451999068229821E-2</v>
      </c>
      <c r="Q9">
        <f t="shared" si="7"/>
        <v>11.126535264466298</v>
      </c>
      <c r="R9">
        <f t="shared" si="8"/>
        <v>0.72306425276124642</v>
      </c>
      <c r="S9" s="20">
        <v>0.99632014719411199</v>
      </c>
      <c r="T9" s="20">
        <f>24*3+9+50/60-10-41/60</f>
        <v>71.149999999999991</v>
      </c>
      <c r="U9" s="30">
        <f t="shared" si="9"/>
        <v>0.84312128370677464</v>
      </c>
      <c r="V9" s="30">
        <f t="shared" si="10"/>
        <v>14.23959200955035</v>
      </c>
    </row>
    <row r="10" spans="1:22" x14ac:dyDescent="0.25">
      <c r="A10" s="19">
        <v>1.29</v>
      </c>
      <c r="B10" s="17">
        <v>1.23</v>
      </c>
      <c r="C10" s="32">
        <v>1.08</v>
      </c>
      <c r="D10" s="16">
        <v>1.3</v>
      </c>
      <c r="E10" s="17">
        <v>1.0900000000000001</v>
      </c>
      <c r="F10" s="32">
        <v>1.0900000000000001</v>
      </c>
      <c r="G10" s="16">
        <v>1.24</v>
      </c>
      <c r="H10" s="17">
        <v>1.18</v>
      </c>
      <c r="I10" s="17">
        <v>1.08</v>
      </c>
      <c r="J10" s="19">
        <f t="shared" si="2"/>
        <v>0.89725771142116639</v>
      </c>
      <c r="K10" s="17">
        <f t="shared" si="3"/>
        <v>9.0232824196406033E-2</v>
      </c>
      <c r="L10" s="17">
        <f t="shared" si="0"/>
        <v>0.80871401687484068</v>
      </c>
      <c r="M10" s="17">
        <f t="shared" si="4"/>
        <v>8.42386654133567E-2</v>
      </c>
      <c r="N10" s="17">
        <f t="shared" si="1"/>
        <v>0.82742010673186517</v>
      </c>
      <c r="O10" s="20">
        <f t="shared" si="5"/>
        <v>8.5384299534365771E-2</v>
      </c>
      <c r="P10" s="45">
        <f t="shared" si="6"/>
        <v>9.0232824196406033E-2</v>
      </c>
      <c r="Q10">
        <f t="shared" si="7"/>
        <v>10.685219271903112</v>
      </c>
      <c r="R10">
        <f t="shared" si="8"/>
        <v>0.84446394500929067</v>
      </c>
      <c r="S10" s="20">
        <v>1.05519779208831</v>
      </c>
      <c r="T10" s="20">
        <f>24*3+15+28/60-10-41/60</f>
        <v>76.783333333333331</v>
      </c>
      <c r="U10" s="30">
        <f t="shared" si="9"/>
        <v>0.89301759293914584</v>
      </c>
      <c r="V10" s="30">
        <f t="shared" si="10"/>
        <v>5.4370315113337115</v>
      </c>
    </row>
    <row r="11" spans="1:22" x14ac:dyDescent="0.25">
      <c r="A11" s="19">
        <v>1.36</v>
      </c>
      <c r="B11" s="17">
        <v>1.18</v>
      </c>
      <c r="C11" s="32">
        <v>1.18</v>
      </c>
      <c r="D11" s="16">
        <v>1.27</v>
      </c>
      <c r="E11" s="17">
        <v>1.29</v>
      </c>
      <c r="F11" s="32">
        <v>1.17</v>
      </c>
      <c r="G11" s="16">
        <v>1.28</v>
      </c>
      <c r="H11" s="17">
        <v>1.2</v>
      </c>
      <c r="I11" s="17">
        <v>1.22</v>
      </c>
      <c r="J11" s="19">
        <f t="shared" si="2"/>
        <v>0.99152015179457687</v>
      </c>
      <c r="K11" s="17">
        <f t="shared" si="3"/>
        <v>9.6384062612134849E-2</v>
      </c>
      <c r="L11" s="17">
        <f t="shared" si="0"/>
        <v>1.0036398926533507</v>
      </c>
      <c r="M11" s="17">
        <f t="shared" si="4"/>
        <v>9.704379706938869E-2</v>
      </c>
      <c r="N11" s="17">
        <f t="shared" si="1"/>
        <v>0.98118221756916413</v>
      </c>
      <c r="O11" s="20">
        <f t="shared" si="5"/>
        <v>9.5537926990768005E-2</v>
      </c>
      <c r="P11" s="45">
        <f t="shared" si="6"/>
        <v>9.704379706938869E-2</v>
      </c>
      <c r="Q11">
        <f t="shared" si="7"/>
        <v>9.7815158869149652</v>
      </c>
      <c r="R11">
        <f t="shared" si="8"/>
        <v>0.99211408733903061</v>
      </c>
      <c r="S11" s="20">
        <v>1.27690892364305</v>
      </c>
      <c r="T11" s="20">
        <f>24*4+13+47/60-10-41/60</f>
        <v>99.1</v>
      </c>
      <c r="U11" s="30">
        <f t="shared" si="9"/>
        <v>1.0809083823923153</v>
      </c>
      <c r="V11" s="30">
        <f t="shared" si="10"/>
        <v>8.2147845737638914</v>
      </c>
    </row>
    <row r="12" spans="1:22" x14ac:dyDescent="0.25">
      <c r="A12" s="19">
        <v>1.4</v>
      </c>
      <c r="B12" s="17">
        <v>1.21</v>
      </c>
      <c r="C12" s="32">
        <v>1.21</v>
      </c>
      <c r="D12" s="16">
        <v>1.3</v>
      </c>
      <c r="E12" s="17">
        <v>1.3</v>
      </c>
      <c r="F12" s="32">
        <v>1.19</v>
      </c>
      <c r="G12" s="16">
        <v>1.34</v>
      </c>
      <c r="H12" s="17">
        <v>1.3</v>
      </c>
      <c r="I12" s="17">
        <v>1.29</v>
      </c>
      <c r="J12" s="19">
        <f t="shared" si="2"/>
        <v>1.0732413542948569</v>
      </c>
      <c r="K12" s="17">
        <f t="shared" si="3"/>
        <v>0.10162214476322023</v>
      </c>
      <c r="L12" s="17">
        <f t="shared" si="0"/>
        <v>1.0530094976057389</v>
      </c>
      <c r="M12" s="17">
        <f t="shared" si="4"/>
        <v>0.10019586169849046</v>
      </c>
      <c r="N12" s="17">
        <f t="shared" si="1"/>
        <v>1.1766206965489852</v>
      </c>
      <c r="O12" s="20">
        <f t="shared" si="5"/>
        <v>0.10781108229079213</v>
      </c>
      <c r="P12" s="45">
        <f t="shared" si="6"/>
        <v>0.10781108229079213</v>
      </c>
      <c r="Q12">
        <f t="shared" si="7"/>
        <v>9.7924863903411836</v>
      </c>
      <c r="R12">
        <f t="shared" si="8"/>
        <v>1.1009571828165272</v>
      </c>
      <c r="S12" s="20">
        <v>1.4333333333333333</v>
      </c>
      <c r="T12" s="20">
        <f>24*5+10+47/60-10-41/60</f>
        <v>120.1</v>
      </c>
      <c r="U12" s="30">
        <f t="shared" si="9"/>
        <v>1.2134714414518775</v>
      </c>
      <c r="V12" s="30">
        <f t="shared" si="10"/>
        <v>9.2720977842486967</v>
      </c>
    </row>
    <row r="13" spans="1:22" x14ac:dyDescent="0.25">
      <c r="A13" s="19">
        <v>1.28</v>
      </c>
      <c r="B13" s="17">
        <v>1.41</v>
      </c>
      <c r="C13" s="32">
        <v>1.33</v>
      </c>
      <c r="D13" s="16">
        <v>1.38</v>
      </c>
      <c r="E13" s="17">
        <v>1.37</v>
      </c>
      <c r="F13" s="32">
        <v>1.3</v>
      </c>
      <c r="G13" s="16">
        <v>1.37</v>
      </c>
      <c r="H13" s="17">
        <v>1.28</v>
      </c>
      <c r="I13" s="17">
        <v>1.28</v>
      </c>
      <c r="J13" s="19">
        <f t="shared" si="2"/>
        <v>1.2568381233657469</v>
      </c>
      <c r="K13" s="17">
        <f t="shared" si="3"/>
        <v>0.11273081638631374</v>
      </c>
      <c r="L13" s="17">
        <f t="shared" si="0"/>
        <v>1.2868905986899868</v>
      </c>
      <c r="M13" s="17">
        <f t="shared" si="4"/>
        <v>0.11447125871640249</v>
      </c>
      <c r="N13" s="17">
        <f t="shared" si="1"/>
        <v>1.1752740004981466</v>
      </c>
      <c r="O13" s="20">
        <f t="shared" si="5"/>
        <v>0.10776919438874427</v>
      </c>
      <c r="P13" s="45">
        <f t="shared" si="6"/>
        <v>0.11447125871640249</v>
      </c>
      <c r="Q13">
        <f t="shared" si="7"/>
        <v>9.2340286299489822</v>
      </c>
      <c r="R13">
        <f t="shared" si="8"/>
        <v>1.2396675741846268</v>
      </c>
      <c r="S13" s="20">
        <v>1.5666666666666667</v>
      </c>
      <c r="T13" s="20">
        <f>24*6+10+50/60-10-41/60</f>
        <v>144.15</v>
      </c>
      <c r="U13" s="30">
        <f t="shared" si="9"/>
        <v>1.3264657917343634</v>
      </c>
      <c r="V13" s="30">
        <f t="shared" si="10"/>
        <v>6.543569995593125</v>
      </c>
    </row>
    <row r="14" spans="1:22" x14ac:dyDescent="0.25">
      <c r="A14" s="19">
        <v>1.39</v>
      </c>
      <c r="B14" s="17">
        <v>1.34</v>
      </c>
      <c r="C14" s="32">
        <v>1.36</v>
      </c>
      <c r="D14" s="16">
        <v>1.35</v>
      </c>
      <c r="E14" s="17">
        <v>1.35</v>
      </c>
      <c r="F14" s="32">
        <v>1.35</v>
      </c>
      <c r="G14" s="16">
        <v>1.43</v>
      </c>
      <c r="H14" s="17">
        <v>1.25</v>
      </c>
      <c r="I14" s="17">
        <v>1.35</v>
      </c>
      <c r="J14" s="19">
        <f t="shared" si="2"/>
        <v>1.3263469080239725</v>
      </c>
      <c r="K14" s="17">
        <f t="shared" si="3"/>
        <v>0.11677090453883021</v>
      </c>
      <c r="L14" s="17">
        <f t="shared" si="0"/>
        <v>1.2882493375126647</v>
      </c>
      <c r="M14" s="17">
        <f t="shared" si="4"/>
        <v>0.11451105222334797</v>
      </c>
      <c r="N14" s="17">
        <f t="shared" si="1"/>
        <v>1.263509295365645</v>
      </c>
      <c r="O14" s="20">
        <f t="shared" si="5"/>
        <v>0.11321252725986417</v>
      </c>
      <c r="P14" s="45">
        <f t="shared" si="6"/>
        <v>0.11677090453883021</v>
      </c>
      <c r="Q14">
        <f t="shared" si="7"/>
        <v>9.0330887058578284</v>
      </c>
      <c r="R14">
        <f t="shared" si="8"/>
        <v>1.2927018469674272</v>
      </c>
      <c r="S14" s="20">
        <v>1.65133394664213</v>
      </c>
      <c r="T14" s="20">
        <f>24*7+10+34/60-10-41/60</f>
        <v>167.88333333333333</v>
      </c>
      <c r="U14" s="30">
        <f t="shared" si="9"/>
        <v>1.3982177239169595</v>
      </c>
      <c r="V14" s="30">
        <f t="shared" si="10"/>
        <v>7.5464554013763143</v>
      </c>
    </row>
    <row r="15" spans="1:22" x14ac:dyDescent="0.25">
      <c r="A15" s="19">
        <v>1.35</v>
      </c>
      <c r="B15" s="17">
        <v>1.38</v>
      </c>
      <c r="C15" s="32">
        <v>1.4</v>
      </c>
      <c r="D15" s="16">
        <v>1.35</v>
      </c>
      <c r="E15" s="17">
        <v>1.36</v>
      </c>
      <c r="F15" s="32">
        <v>1.36</v>
      </c>
      <c r="G15" s="16">
        <v>1.36</v>
      </c>
      <c r="H15" s="17">
        <v>1.36</v>
      </c>
      <c r="I15" s="17">
        <v>1.4</v>
      </c>
      <c r="J15" s="19">
        <f t="shared" si="2"/>
        <v>1.3656503265154829</v>
      </c>
      <c r="K15" s="17">
        <f t="shared" si="3"/>
        <v>0.11906636157105314</v>
      </c>
      <c r="L15" s="17">
        <f t="shared" si="0"/>
        <v>1.3074051987179285</v>
      </c>
      <c r="M15" s="17">
        <f t="shared" si="4"/>
        <v>0.11564411997374269</v>
      </c>
      <c r="N15" s="17">
        <f t="shared" si="1"/>
        <v>1.3558276134852589</v>
      </c>
      <c r="O15" s="20">
        <f t="shared" si="5"/>
        <v>0.11849249731299742</v>
      </c>
      <c r="P15" s="45">
        <f t="shared" si="6"/>
        <v>0.11906636157105314</v>
      </c>
      <c r="Q15">
        <f t="shared" si="7"/>
        <v>8.8659579445325285</v>
      </c>
      <c r="R15">
        <f t="shared" si="8"/>
        <v>1.3429610462395567</v>
      </c>
      <c r="S15" s="20">
        <v>1.7129714811407499</v>
      </c>
      <c r="T15" s="20">
        <f>24*8+10+6/60-10-41/60</f>
        <v>191.41666666666666</v>
      </c>
      <c r="U15" s="30">
        <f t="shared" si="9"/>
        <v>1.4504529226446035</v>
      </c>
      <c r="V15" s="30">
        <f t="shared" si="10"/>
        <v>7.4109179778863403</v>
      </c>
    </row>
    <row r="16" spans="1:22" x14ac:dyDescent="0.25">
      <c r="A16" s="19">
        <v>1.39</v>
      </c>
      <c r="B16" s="17">
        <v>1.4</v>
      </c>
      <c r="C16" s="32">
        <v>1.4</v>
      </c>
      <c r="D16" s="16">
        <v>1.45</v>
      </c>
      <c r="E16" s="17">
        <v>1.41</v>
      </c>
      <c r="F16" s="32">
        <v>1.29</v>
      </c>
      <c r="G16" s="16">
        <v>1.38</v>
      </c>
      <c r="H16" s="17">
        <v>1.36</v>
      </c>
      <c r="I16" s="17">
        <v>1.38</v>
      </c>
      <c r="J16" s="19">
        <f t="shared" si="2"/>
        <v>1.4264925042400052</v>
      </c>
      <c r="K16" s="17">
        <f t="shared" si="3"/>
        <v>0.12256400139204977</v>
      </c>
      <c r="L16" s="17">
        <f t="shared" si="0"/>
        <v>1.3809420287568313</v>
      </c>
      <c r="M16" s="17">
        <f t="shared" si="4"/>
        <v>0.12009052077612341</v>
      </c>
      <c r="N16" s="17">
        <f t="shared" si="1"/>
        <v>1.3561124512191842</v>
      </c>
      <c r="O16" s="20">
        <f t="shared" si="5"/>
        <v>0.11850087489340698</v>
      </c>
      <c r="P16" s="45">
        <f t="shared" si="6"/>
        <v>0.12256400139204977</v>
      </c>
      <c r="Q16">
        <f t="shared" si="7"/>
        <v>8.8312202449033794</v>
      </c>
      <c r="R16">
        <f t="shared" si="8"/>
        <v>1.3878489947386736</v>
      </c>
      <c r="S16" s="20">
        <v>1.73505059797608</v>
      </c>
      <c r="T16" s="20">
        <f>24*9+9+46/60-10-41/60</f>
        <v>215.08333333333334</v>
      </c>
      <c r="U16" s="30">
        <f t="shared" si="9"/>
        <v>1.4691640386067475</v>
      </c>
      <c r="V16" s="30">
        <f t="shared" si="10"/>
        <v>5.5347831645258196</v>
      </c>
    </row>
    <row r="17" spans="1:22" x14ac:dyDescent="0.25">
      <c r="A17" s="19">
        <v>1.5</v>
      </c>
      <c r="B17" s="17">
        <v>1.36</v>
      </c>
      <c r="C17" s="32">
        <v>1.36</v>
      </c>
      <c r="D17" s="16">
        <v>1.43</v>
      </c>
      <c r="E17" s="17">
        <v>1.36</v>
      </c>
      <c r="F17" s="32">
        <v>1.36</v>
      </c>
      <c r="G17" s="16">
        <v>1.45</v>
      </c>
      <c r="H17" s="17">
        <v>1.32</v>
      </c>
      <c r="I17" s="17">
        <v>1.36</v>
      </c>
      <c r="J17" s="19">
        <f t="shared" si="2"/>
        <v>1.4526724430199207</v>
      </c>
      <c r="K17" s="17">
        <f t="shared" si="3"/>
        <v>0.12418925199150692</v>
      </c>
      <c r="L17" s="17">
        <f t="shared" si="0"/>
        <v>1.3848810623456576</v>
      </c>
      <c r="M17" s="17">
        <f t="shared" si="4"/>
        <v>0.12020152371655027</v>
      </c>
      <c r="N17" s="17">
        <f t="shared" si="1"/>
        <v>1.3629485568333961</v>
      </c>
      <c r="O17" s="20">
        <f t="shared" si="5"/>
        <v>0.11898677455716222</v>
      </c>
      <c r="P17" s="45">
        <f t="shared" si="6"/>
        <v>0.12418925199150692</v>
      </c>
      <c r="Q17">
        <f t="shared" si="7"/>
        <v>8.8696005967315354</v>
      </c>
      <c r="R17">
        <f t="shared" si="8"/>
        <v>1.4001673540663251</v>
      </c>
      <c r="S17" s="20">
        <v>1.74333026678932</v>
      </c>
      <c r="T17" s="20">
        <f>24*9+15+20/60-10-41/60</f>
        <v>220.65</v>
      </c>
      <c r="U17" s="30">
        <f t="shared" si="9"/>
        <v>1.4761807070925443</v>
      </c>
      <c r="V17" s="30">
        <f t="shared" si="10"/>
        <v>5.1493257336992038</v>
      </c>
    </row>
    <row r="18" spans="1:22" x14ac:dyDescent="0.25">
      <c r="A18" s="19">
        <v>1.4</v>
      </c>
      <c r="B18" s="17">
        <v>1.4</v>
      </c>
      <c r="C18" s="32">
        <v>1.39</v>
      </c>
      <c r="D18" s="16">
        <v>1.43</v>
      </c>
      <c r="E18" s="17">
        <v>1.36</v>
      </c>
      <c r="F18" s="32">
        <v>1.36</v>
      </c>
      <c r="G18" s="16">
        <v>1.5</v>
      </c>
      <c r="H18" s="17">
        <v>1.4</v>
      </c>
      <c r="I18" s="17">
        <v>1.35</v>
      </c>
      <c r="J18" s="19">
        <f t="shared" si="2"/>
        <v>1.4264925042400052</v>
      </c>
      <c r="K18" s="17">
        <f t="shared" si="3"/>
        <v>0.12256400139204977</v>
      </c>
      <c r="L18" s="17">
        <f t="shared" si="0"/>
        <v>1.3848810623456576</v>
      </c>
      <c r="M18" s="17">
        <f t="shared" si="4"/>
        <v>0.12020152371655027</v>
      </c>
      <c r="N18" s="17">
        <f t="shared" si="1"/>
        <v>1.4844025288211773</v>
      </c>
      <c r="O18" s="20">
        <f t="shared" si="5"/>
        <v>0.1259778654089507</v>
      </c>
      <c r="P18" s="45">
        <f t="shared" si="6"/>
        <v>0.1259778654089507</v>
      </c>
      <c r="Q18">
        <f t="shared" si="7"/>
        <v>8.7977955050066274</v>
      </c>
      <c r="R18">
        <f t="shared" si="8"/>
        <v>1.4319253651356132</v>
      </c>
      <c r="S18" s="20">
        <v>1.74333026678932</v>
      </c>
      <c r="T18" s="20">
        <f>24*10+6+34/60-10-41/60</f>
        <v>235.88333333333333</v>
      </c>
      <c r="U18" s="30">
        <f t="shared" si="9"/>
        <v>1.4761807070925443</v>
      </c>
      <c r="V18" s="30">
        <f t="shared" si="10"/>
        <v>2.9979623595064844</v>
      </c>
    </row>
    <row r="19" spans="1:22" ht="15.75" thickBot="1" x14ac:dyDescent="0.3">
      <c r="A19" s="21">
        <v>1.45</v>
      </c>
      <c r="B19" s="28">
        <v>1.4</v>
      </c>
      <c r="C19" s="34">
        <v>1.36</v>
      </c>
      <c r="D19" s="35">
        <v>1.44</v>
      </c>
      <c r="E19" s="28">
        <v>1.45</v>
      </c>
      <c r="F19" s="34">
        <v>1.35</v>
      </c>
      <c r="G19" s="35">
        <v>1.45</v>
      </c>
      <c r="H19" s="28">
        <v>1.4</v>
      </c>
      <c r="I19" s="28">
        <v>1.3</v>
      </c>
      <c r="J19" s="21">
        <f t="shared" si="2"/>
        <v>1.4455514996717833</v>
      </c>
      <c r="K19" s="28">
        <f t="shared" si="3"/>
        <v>0.1236949747473421</v>
      </c>
      <c r="L19" s="28">
        <f t="shared" si="0"/>
        <v>1.4759202286564848</v>
      </c>
      <c r="M19" s="28">
        <f t="shared" si="4"/>
        <v>0.12544379465784045</v>
      </c>
      <c r="N19" s="28">
        <f t="shared" si="1"/>
        <v>1.3817771688039104</v>
      </c>
      <c r="O19" s="22">
        <f t="shared" si="5"/>
        <v>0.12011355912224973</v>
      </c>
      <c r="P19" s="46">
        <f t="shared" si="6"/>
        <v>0.12544379465784045</v>
      </c>
      <c r="Q19" s="8">
        <f t="shared" si="7"/>
        <v>8.745285085050984</v>
      </c>
      <c r="R19" s="8">
        <f t="shared" si="8"/>
        <v>1.4344162990440594</v>
      </c>
      <c r="S19" s="22">
        <v>1.74333026678932</v>
      </c>
      <c r="T19" s="22">
        <f>24*11+13+43/60-10-41/60</f>
        <v>267.0333333333333</v>
      </c>
      <c r="U19" s="31">
        <f t="shared" si="9"/>
        <v>1.4761807070925443</v>
      </c>
      <c r="V19" s="31">
        <f t="shared" si="10"/>
        <v>2.8292205586904906</v>
      </c>
    </row>
  </sheetData>
  <mergeCells count="3">
    <mergeCell ref="A1:C1"/>
    <mergeCell ref="D1:F1"/>
    <mergeCell ref="G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opLeftCell="I1" workbookViewId="0">
      <selection activeCell="AD3" sqref="AD3:AD20"/>
    </sheetView>
  </sheetViews>
  <sheetFormatPr baseColWidth="10" defaultRowHeight="15" x14ac:dyDescent="0.25"/>
  <sheetData>
    <row r="1" spans="1:30" ht="15.75" thickBot="1" x14ac:dyDescent="0.3">
      <c r="A1" s="71">
        <v>0</v>
      </c>
      <c r="B1" s="72"/>
      <c r="C1" s="72"/>
      <c r="D1" s="72"/>
      <c r="E1" s="72"/>
      <c r="F1" s="71">
        <v>0.2</v>
      </c>
      <c r="G1" s="72"/>
      <c r="H1" s="72"/>
      <c r="I1" s="72"/>
      <c r="J1" s="73"/>
      <c r="K1" s="71">
        <v>0.4</v>
      </c>
      <c r="L1" s="72"/>
      <c r="M1" s="72"/>
      <c r="N1" s="72"/>
      <c r="O1" s="73"/>
      <c r="P1" s="71">
        <v>0.5</v>
      </c>
      <c r="Q1" s="72"/>
      <c r="R1" s="72"/>
      <c r="S1" s="72"/>
      <c r="T1" s="73"/>
      <c r="U1" s="71">
        <v>0.6</v>
      </c>
      <c r="V1" s="72"/>
      <c r="W1" s="72"/>
      <c r="X1" s="72"/>
      <c r="Y1" s="73"/>
      <c r="Z1" s="71">
        <v>0.7</v>
      </c>
      <c r="AA1" s="72"/>
      <c r="AB1" s="72"/>
      <c r="AC1" s="72"/>
      <c r="AD1" s="73"/>
    </row>
    <row r="2" spans="1:30" ht="15.75" thickBot="1" x14ac:dyDescent="0.3">
      <c r="A2" s="51" t="s">
        <v>5</v>
      </c>
      <c r="B2" s="52" t="s">
        <v>10</v>
      </c>
      <c r="C2" s="52" t="s">
        <v>3</v>
      </c>
      <c r="D2" s="52" t="s">
        <v>16</v>
      </c>
      <c r="E2" s="52" t="s">
        <v>17</v>
      </c>
      <c r="F2" s="51" t="s">
        <v>5</v>
      </c>
      <c r="G2" s="52" t="s">
        <v>10</v>
      </c>
      <c r="H2" s="52" t="s">
        <v>3</v>
      </c>
      <c r="I2" s="52" t="s">
        <v>16</v>
      </c>
      <c r="J2" s="53" t="s">
        <v>17</v>
      </c>
      <c r="K2" s="51" t="s">
        <v>5</v>
      </c>
      <c r="L2" s="52" t="s">
        <v>3</v>
      </c>
      <c r="M2" s="52" t="s">
        <v>10</v>
      </c>
      <c r="N2" s="52" t="s">
        <v>16</v>
      </c>
      <c r="O2" s="52" t="s">
        <v>17</v>
      </c>
      <c r="P2" s="51" t="s">
        <v>5</v>
      </c>
      <c r="Q2" s="52" t="s">
        <v>3</v>
      </c>
      <c r="R2" s="52" t="s">
        <v>10</v>
      </c>
      <c r="S2" s="52" t="s">
        <v>16</v>
      </c>
      <c r="T2" s="53" t="s">
        <v>17</v>
      </c>
      <c r="U2" s="51" t="s">
        <v>11</v>
      </c>
      <c r="V2" s="52" t="s">
        <v>3</v>
      </c>
      <c r="W2" s="52" t="s">
        <v>10</v>
      </c>
      <c r="X2" s="52" t="s">
        <v>16</v>
      </c>
      <c r="Y2" s="53" t="s">
        <v>17</v>
      </c>
      <c r="Z2" s="51" t="s">
        <v>5</v>
      </c>
      <c r="AA2" s="52" t="s">
        <v>3</v>
      </c>
      <c r="AB2" s="52" t="s">
        <v>10</v>
      </c>
      <c r="AC2" s="52" t="s">
        <v>12</v>
      </c>
      <c r="AD2" s="53" t="s">
        <v>4</v>
      </c>
    </row>
    <row r="3" spans="1:30" x14ac:dyDescent="0.25">
      <c r="A3" s="45">
        <v>0</v>
      </c>
      <c r="B3" s="50">
        <v>1.4999999999999999E-2</v>
      </c>
      <c r="C3" s="50">
        <v>1.149404032193386E-2</v>
      </c>
      <c r="D3" s="50">
        <v>4.9260172808287955E-3</v>
      </c>
      <c r="E3" s="50">
        <v>1.149404032193386E-2</v>
      </c>
      <c r="F3" s="45">
        <v>0</v>
      </c>
      <c r="G3" s="50">
        <v>1.4999999999999999E-2</v>
      </c>
      <c r="H3" s="50">
        <v>1.149404032193386E-2</v>
      </c>
      <c r="I3" s="50">
        <v>4.9260172808287955E-3</v>
      </c>
      <c r="J3" s="5">
        <v>1.149404032193386E-2</v>
      </c>
      <c r="K3" s="45">
        <v>0</v>
      </c>
      <c r="L3" s="50">
        <v>1.149404032193386E-2</v>
      </c>
      <c r="M3" s="50">
        <v>1.4999999999999999E-2</v>
      </c>
      <c r="N3" s="50">
        <v>4.9260172808287955E-3</v>
      </c>
      <c r="O3" s="50">
        <v>1.149404032193386E-2</v>
      </c>
      <c r="P3" s="45">
        <v>0</v>
      </c>
      <c r="Q3" s="50">
        <v>1.149404032193386E-2</v>
      </c>
      <c r="R3" s="50">
        <v>1.4999999999999999E-2</v>
      </c>
      <c r="S3" s="50">
        <v>4.9260172808287955E-3</v>
      </c>
      <c r="T3" s="5">
        <v>1.149404032193386E-2</v>
      </c>
      <c r="U3" s="45">
        <v>0</v>
      </c>
      <c r="V3" s="50">
        <v>1.149404032193386E-2</v>
      </c>
      <c r="W3" s="50">
        <v>1.4999999999999999E-2</v>
      </c>
      <c r="X3" s="50">
        <v>4.9260172808287955E-3</v>
      </c>
      <c r="Y3" s="5">
        <v>1.149404032193386E-2</v>
      </c>
      <c r="Z3" s="45">
        <v>0</v>
      </c>
      <c r="AA3" s="50">
        <v>1.149404032193386E-2</v>
      </c>
      <c r="AB3" s="50">
        <v>1.4999999999999999E-2</v>
      </c>
      <c r="AC3" s="50">
        <v>4.9260172808287955E-3</v>
      </c>
      <c r="AD3" s="5">
        <v>1.149404032193386E-2</v>
      </c>
    </row>
    <row r="4" spans="1:30" x14ac:dyDescent="0.25">
      <c r="A4" s="45">
        <v>0.5</v>
      </c>
      <c r="B4" s="50">
        <v>0.12</v>
      </c>
      <c r="C4" s="50">
        <v>0.11649404032193386</v>
      </c>
      <c r="D4" s="50">
        <v>3.5657076618244153E-2</v>
      </c>
      <c r="E4" s="50">
        <v>0.22186171665746399</v>
      </c>
      <c r="F4" s="45">
        <v>0.5</v>
      </c>
      <c r="G4" s="50">
        <v>0.12322074099999999</v>
      </c>
      <c r="H4" s="50">
        <v>0.11456141270288624</v>
      </c>
      <c r="I4" s="50">
        <v>3.4406722742115405E-2</v>
      </c>
      <c r="J4" s="5">
        <v>0.17463205990094621</v>
      </c>
      <c r="K4" s="45">
        <v>1</v>
      </c>
      <c r="L4" s="50">
        <v>0.11660790711132296</v>
      </c>
      <c r="M4" s="50">
        <v>0.13062525346832801</v>
      </c>
      <c r="N4" s="50">
        <v>3.3483094501960006E-2</v>
      </c>
      <c r="O4" s="50">
        <v>0.1714025026530559</v>
      </c>
      <c r="P4" s="45">
        <v>0.50000000000000078</v>
      </c>
      <c r="Q4" s="50">
        <v>5.1307546286157399E-2</v>
      </c>
      <c r="R4" s="50">
        <v>5.99892617395726E-2</v>
      </c>
      <c r="S4" s="50">
        <v>1.3879556343559704E-2</v>
      </c>
      <c r="T4" s="5">
        <v>5.1013181508991055E-2</v>
      </c>
      <c r="U4" s="45">
        <v>0.50000000000000078</v>
      </c>
      <c r="V4" s="50">
        <v>3.7495080363535528E-2</v>
      </c>
      <c r="W4" s="50">
        <v>4.4999999999999998E-2</v>
      </c>
      <c r="X4" s="50">
        <v>1.1617609632975054E-2</v>
      </c>
      <c r="Y4" s="5">
        <v>3.883636838367701E-2</v>
      </c>
      <c r="Z4" s="45">
        <v>2.6999999999999993</v>
      </c>
      <c r="AA4" s="50">
        <v>4.945811497928649E-2</v>
      </c>
      <c r="AB4" s="50">
        <v>5.9797608095676101E-2</v>
      </c>
      <c r="AC4" s="50">
        <v>1.4476458947741766E-2</v>
      </c>
      <c r="AD4" s="5">
        <v>5.4410813963848413E-2</v>
      </c>
    </row>
    <row r="5" spans="1:30" x14ac:dyDescent="0.25">
      <c r="A5" s="45">
        <v>1</v>
      </c>
      <c r="B5" s="50">
        <v>0.37333333330000001</v>
      </c>
      <c r="C5" s="50">
        <v>0.36982737362193385</v>
      </c>
      <c r="D5" s="50">
        <v>5.1450910085391238E-2</v>
      </c>
      <c r="E5" s="50">
        <v>0.36540597192188717</v>
      </c>
      <c r="F5" s="45">
        <v>1</v>
      </c>
      <c r="G5" s="50">
        <v>0.24174164519999999</v>
      </c>
      <c r="H5" s="50">
        <v>0.22743846432193385</v>
      </c>
      <c r="I5" s="50">
        <v>4.2912061252934175E-2</v>
      </c>
      <c r="J5" s="5">
        <v>0.28245989735255744</v>
      </c>
      <c r="K5" s="45">
        <v>2</v>
      </c>
      <c r="L5" s="50">
        <v>0.225446153303972</v>
      </c>
      <c r="M5" s="50">
        <v>0.25034732428024198</v>
      </c>
      <c r="N5" s="50">
        <v>4.1364303272265604E-2</v>
      </c>
      <c r="O5" s="50">
        <v>0.27373063309870788</v>
      </c>
      <c r="P5" s="45">
        <v>1.0000000000000009</v>
      </c>
      <c r="Q5" s="50">
        <v>8.4502704706121576E-2</v>
      </c>
      <c r="R5" s="50">
        <v>9.7499790754132107E-2</v>
      </c>
      <c r="S5" s="50">
        <v>2.2619467105846509E-2</v>
      </c>
      <c r="T5" s="5">
        <v>0.10586678550407042</v>
      </c>
      <c r="U5" s="45">
        <v>1.0000000000000009</v>
      </c>
      <c r="V5" s="50">
        <v>5.3095704388496527E-2</v>
      </c>
      <c r="W5" s="50">
        <v>6.3E-2</v>
      </c>
      <c r="X5" s="50">
        <v>1.5085927922538184E-2</v>
      </c>
      <c r="Y5" s="5">
        <v>5.7956101273424487E-2</v>
      </c>
      <c r="Z5" s="45">
        <v>4.5</v>
      </c>
      <c r="AA5" s="50">
        <v>7.2067380100207093E-2</v>
      </c>
      <c r="AB5" s="50">
        <v>8.6476540938362406E-2</v>
      </c>
      <c r="AC5" s="50">
        <v>1.8321768355735672E-2</v>
      </c>
      <c r="AD5" s="5">
        <v>7.8007316384961375E-2</v>
      </c>
    </row>
    <row r="6" spans="1:30" x14ac:dyDescent="0.25">
      <c r="A6" s="45">
        <v>1.5</v>
      </c>
      <c r="B6" s="50">
        <v>0.54666666669999997</v>
      </c>
      <c r="C6" s="50">
        <v>0.54316070702193386</v>
      </c>
      <c r="D6" s="50">
        <v>7.2248253452155659E-2</v>
      </c>
      <c r="E6" s="50">
        <v>0.60253547980994715</v>
      </c>
      <c r="F6" s="45">
        <v>1.5</v>
      </c>
      <c r="G6" s="50">
        <v>0.35795108619999999</v>
      </c>
      <c r="H6" s="50">
        <v>0.33811412241717193</v>
      </c>
      <c r="I6" s="50">
        <v>5.670574739729576E-2</v>
      </c>
      <c r="J6" s="5">
        <v>0.40381892342903036</v>
      </c>
      <c r="K6" s="45">
        <v>3</v>
      </c>
      <c r="L6" s="50">
        <v>0.33716869786606657</v>
      </c>
      <c r="M6" s="50">
        <v>0.373242123298546</v>
      </c>
      <c r="N6" s="50">
        <v>4.6495571273128929E-2</v>
      </c>
      <c r="O6" s="50">
        <v>0.32350026751565292</v>
      </c>
      <c r="P6" s="45">
        <v>2.0000000000000009</v>
      </c>
      <c r="Q6" s="50">
        <v>0.14805830030335862</v>
      </c>
      <c r="R6" s="50">
        <v>0.16931761377901</v>
      </c>
      <c r="S6" s="50">
        <v>2.8205218843929167E-2</v>
      </c>
      <c r="T6" s="5">
        <v>0.15060166862778754</v>
      </c>
      <c r="U6" s="45">
        <v>2.0000000000000009</v>
      </c>
      <c r="V6" s="50">
        <v>8.6030355107858641E-2</v>
      </c>
      <c r="W6" s="50">
        <v>0.10100000000000001</v>
      </c>
      <c r="X6" s="50">
        <v>1.9704069123315182E-2</v>
      </c>
      <c r="Y6" s="5">
        <v>8.717134215548282E-2</v>
      </c>
      <c r="Z6" s="45">
        <v>23.650000000000002</v>
      </c>
      <c r="AA6" s="50">
        <v>0.28880447332834236</v>
      </c>
      <c r="AB6" s="50">
        <v>0.34222631094756201</v>
      </c>
      <c r="AC6" s="50">
        <v>4.9712562150404878E-2</v>
      </c>
      <c r="AD6" s="5">
        <v>0.34888293989325686</v>
      </c>
    </row>
    <row r="7" spans="1:30" x14ac:dyDescent="0.25">
      <c r="A7" s="45">
        <v>2</v>
      </c>
      <c r="B7" s="50">
        <v>0.71666666670000001</v>
      </c>
      <c r="C7" s="50">
        <v>0.7131607070219339</v>
      </c>
      <c r="D7" s="50">
        <v>7.8131409294778145E-2</v>
      </c>
      <c r="E7" s="50">
        <v>0.69773917624895831</v>
      </c>
      <c r="F7" s="45">
        <v>2</v>
      </c>
      <c r="G7" s="50">
        <v>0.46767654139999998</v>
      </c>
      <c r="H7" s="50">
        <v>0.44261455594098142</v>
      </c>
      <c r="I7" s="50">
        <v>5.8337281182060059E-2</v>
      </c>
      <c r="J7" s="5">
        <v>0.43023483072381491</v>
      </c>
      <c r="K7" s="45">
        <v>4</v>
      </c>
      <c r="L7" s="50">
        <v>0.44345006662728559</v>
      </c>
      <c r="M7" s="50">
        <v>0.49015162893588698</v>
      </c>
      <c r="N7" s="50">
        <v>6.480686765335264E-2</v>
      </c>
      <c r="O7" s="50">
        <v>0.47342247946563915</v>
      </c>
      <c r="P7" s="45">
        <v>3</v>
      </c>
      <c r="Q7" s="50">
        <v>0.2119349131433905</v>
      </c>
      <c r="R7" s="50">
        <v>0.24149818628824599</v>
      </c>
      <c r="S7" s="50">
        <v>3.9213359502107803E-2</v>
      </c>
      <c r="T7" s="5">
        <v>0.24250756544515528</v>
      </c>
      <c r="U7" s="45">
        <v>3</v>
      </c>
      <c r="V7" s="50">
        <v>0.1198317071619408</v>
      </c>
      <c r="W7" s="50">
        <v>0.14000000000000001</v>
      </c>
      <c r="X7" s="50">
        <v>2.3379732528015236E-2</v>
      </c>
      <c r="Y7" s="5">
        <v>0.11501388158084751</v>
      </c>
      <c r="Z7" s="45">
        <v>28.333333333333332</v>
      </c>
      <c r="AA7" s="50">
        <v>0.35741189852285926</v>
      </c>
      <c r="AB7" s="50">
        <v>0.42318307267709199</v>
      </c>
      <c r="AC7" s="50">
        <v>5.4186190089116744E-2</v>
      </c>
      <c r="AD7" s="5">
        <v>0.384371068639908</v>
      </c>
    </row>
    <row r="8" spans="1:30" x14ac:dyDescent="0.25">
      <c r="A8" s="45">
        <v>3</v>
      </c>
      <c r="B8" s="50">
        <v>1.016666667</v>
      </c>
      <c r="C8" s="50">
        <v>1.013160707321934</v>
      </c>
      <c r="D8" s="50">
        <v>9.1062204656953735E-2</v>
      </c>
      <c r="E8" s="50">
        <v>0.87662949045892036</v>
      </c>
      <c r="F8" s="45">
        <v>3</v>
      </c>
      <c r="G8" s="50">
        <v>0.67221810250000003</v>
      </c>
      <c r="H8" s="50">
        <v>0.63741604270288632</v>
      </c>
      <c r="I8" s="50">
        <v>6.7680377733836103E-2</v>
      </c>
      <c r="J8" s="5">
        <v>0.55639595570422495</v>
      </c>
      <c r="K8" s="45">
        <v>5</v>
      </c>
      <c r="L8" s="50">
        <v>0.54939547402381572</v>
      </c>
      <c r="M8" s="50">
        <v>0.60669157707207</v>
      </c>
      <c r="N8" s="50">
        <v>6.9240702085119024E-2</v>
      </c>
      <c r="O8" s="50">
        <v>0.56879966163229823</v>
      </c>
      <c r="P8" s="45">
        <v>4</v>
      </c>
      <c r="Q8" s="50">
        <v>0.27457658027531084</v>
      </c>
      <c r="R8" s="50">
        <v>0.31228327014731599</v>
      </c>
      <c r="S8" s="50">
        <v>4.1519288509842697E-2</v>
      </c>
      <c r="T8" s="5">
        <v>0.27331925899401277</v>
      </c>
      <c r="U8" s="45">
        <v>5</v>
      </c>
      <c r="V8" s="50">
        <v>0.13716573385634193</v>
      </c>
      <c r="W8" s="50">
        <v>0.16</v>
      </c>
      <c r="X8" s="50">
        <v>3.1673537133492288E-2</v>
      </c>
      <c r="Y8" s="5">
        <v>0.17966768385880025</v>
      </c>
      <c r="Z8" s="45">
        <v>47.483333333333334</v>
      </c>
      <c r="AA8" s="50">
        <v>0.58506380939557712</v>
      </c>
      <c r="AB8" s="50">
        <v>0.69181232750689903</v>
      </c>
      <c r="AC8" s="50">
        <v>7.1209433481368642E-2</v>
      </c>
      <c r="AD8" s="5">
        <v>0.55710909723658997</v>
      </c>
    </row>
    <row r="9" spans="1:30" x14ac:dyDescent="0.25">
      <c r="A9" s="45">
        <v>4</v>
      </c>
      <c r="B9" s="50">
        <v>1.28</v>
      </c>
      <c r="C9" s="50">
        <v>1.276494040321934</v>
      </c>
      <c r="D9" s="50">
        <v>0.11743273339118644</v>
      </c>
      <c r="E9" s="50">
        <v>1.2633349369733706</v>
      </c>
      <c r="F9" s="45">
        <v>4.5</v>
      </c>
      <c r="G9" s="50">
        <v>0.95071457049999997</v>
      </c>
      <c r="H9" s="50">
        <v>0.90265077413145767</v>
      </c>
      <c r="I9" s="50">
        <v>8.1547367706781448E-2</v>
      </c>
      <c r="J9" s="5">
        <v>0.70329089406662693</v>
      </c>
      <c r="K9" s="45">
        <v>7.3666666666666663</v>
      </c>
      <c r="L9" s="50">
        <v>0.76967446926912109</v>
      </c>
      <c r="M9" s="50">
        <v>0.84899847184190602</v>
      </c>
      <c r="N9" s="50">
        <v>8.2251084461185564E-2</v>
      </c>
      <c r="O9" s="50">
        <v>0.75592862804337446</v>
      </c>
      <c r="P9" s="45">
        <v>5</v>
      </c>
      <c r="Q9" s="50">
        <v>0.335968178952533</v>
      </c>
      <c r="R9" s="50">
        <v>0.38165577665257699</v>
      </c>
      <c r="S9" s="50">
        <v>4.7197193632430655E-2</v>
      </c>
      <c r="T9" s="5">
        <v>0.33500041648996887</v>
      </c>
      <c r="U9" s="45">
        <v>7</v>
      </c>
      <c r="V9" s="50">
        <v>0.21516885398114688</v>
      </c>
      <c r="W9" s="50">
        <v>0.25</v>
      </c>
      <c r="X9" s="50">
        <v>4.0212385965949358E-2</v>
      </c>
      <c r="Y9" s="5">
        <v>0.26477325431162257</v>
      </c>
      <c r="Z9" s="45">
        <v>53.583333333333336</v>
      </c>
      <c r="AA9" s="50">
        <v>0.66458605223467715</v>
      </c>
      <c r="AB9" s="50">
        <v>0.78564857405703703</v>
      </c>
      <c r="AC9" s="50">
        <v>7.3460908216441315E-2</v>
      </c>
      <c r="AD9" s="5">
        <v>0.61552823436056836</v>
      </c>
    </row>
    <row r="10" spans="1:30" x14ac:dyDescent="0.25">
      <c r="A10" s="45">
        <v>5</v>
      </c>
      <c r="B10" s="50">
        <v>1.4666666669999999</v>
      </c>
      <c r="C10" s="50">
        <v>1.4631607073219339</v>
      </c>
      <c r="D10" s="50">
        <v>0.12182467992090498</v>
      </c>
      <c r="E10" s="50">
        <v>1.380400104024087</v>
      </c>
      <c r="F10" s="45">
        <v>5.5</v>
      </c>
      <c r="G10" s="50">
        <v>1.1172223590000001</v>
      </c>
      <c r="H10" s="50">
        <v>1.061229620321934</v>
      </c>
      <c r="I10" s="50">
        <v>0.1050820854723738</v>
      </c>
      <c r="J10" s="5">
        <v>1.0927872965879415</v>
      </c>
      <c r="K10" s="45">
        <v>9.9166666666666661</v>
      </c>
      <c r="L10" s="50">
        <v>0.98899396586772481</v>
      </c>
      <c r="M10" s="50">
        <v>1.09024991810037</v>
      </c>
      <c r="N10" s="50">
        <v>9.0075744563726551E-2</v>
      </c>
      <c r="O10" s="50">
        <v>0.84411575182351772</v>
      </c>
      <c r="P10" s="45">
        <v>7.5333333333333341</v>
      </c>
      <c r="Q10" s="50">
        <v>0.47197696734353922</v>
      </c>
      <c r="R10" s="50">
        <v>0.53534570753441402</v>
      </c>
      <c r="S10" s="50">
        <v>6.3711499014800999E-2</v>
      </c>
      <c r="T10" s="5">
        <v>0.48852673334532321</v>
      </c>
      <c r="U10" s="45">
        <v>14.233333333333334</v>
      </c>
      <c r="V10" s="50">
        <v>0.47517925439716358</v>
      </c>
      <c r="W10" s="50">
        <v>0.55000000000000004</v>
      </c>
      <c r="X10" s="50">
        <v>5.9017959590337843E-2</v>
      </c>
      <c r="Y10" s="5">
        <v>0.46146138903587147</v>
      </c>
      <c r="Z10" s="45">
        <v>71.149999999999991</v>
      </c>
      <c r="AA10" s="50">
        <v>0.84312128370677464</v>
      </c>
      <c r="AB10" s="50">
        <v>0.99632014719411199</v>
      </c>
      <c r="AC10" s="50">
        <v>8.0451999068229821E-2</v>
      </c>
      <c r="AD10" s="5">
        <v>0.72306425276124642</v>
      </c>
    </row>
    <row r="11" spans="1:30" x14ac:dyDescent="0.25">
      <c r="A11" s="45">
        <v>7.3666666669999996</v>
      </c>
      <c r="B11" s="50">
        <v>1.859</v>
      </c>
      <c r="C11" s="50">
        <v>1.855494040321934</v>
      </c>
      <c r="D11" s="50">
        <v>0.14323568105267062</v>
      </c>
      <c r="E11" s="50">
        <v>1.7396841590616787</v>
      </c>
      <c r="F11" s="45">
        <v>6.6666666670000003</v>
      </c>
      <c r="G11" s="50">
        <v>1.2938867510000001</v>
      </c>
      <c r="H11" s="50">
        <v>1.2294814222266959</v>
      </c>
      <c r="I11" s="50">
        <v>0.109754680945813</v>
      </c>
      <c r="J11" s="5">
        <v>1.1521365196703079</v>
      </c>
      <c r="K11" s="45">
        <v>12.416666666666666</v>
      </c>
      <c r="L11" s="50">
        <v>1.1912778070550794</v>
      </c>
      <c r="M11" s="50">
        <v>1.31276214340646</v>
      </c>
      <c r="N11" s="50">
        <v>0.10709898795597843</v>
      </c>
      <c r="O11" s="50">
        <v>1.0921516476743653</v>
      </c>
      <c r="P11" s="45">
        <v>9.9</v>
      </c>
      <c r="Q11" s="50">
        <v>0.60775386533180831</v>
      </c>
      <c r="R11" s="50">
        <v>0.68877360226115802</v>
      </c>
      <c r="S11" s="50">
        <v>7.016223593017204E-2</v>
      </c>
      <c r="T11" s="5">
        <v>0.57262472522096919</v>
      </c>
      <c r="U11" s="45">
        <v>16.899999999999999</v>
      </c>
      <c r="V11" s="50">
        <v>0.53584834782756752</v>
      </c>
      <c r="W11" s="50">
        <v>0.62</v>
      </c>
      <c r="X11" s="50">
        <v>6.4381705447566814E-2</v>
      </c>
      <c r="Y11" s="5">
        <v>0.5115533857656599</v>
      </c>
      <c r="Z11" s="45">
        <v>76.783333333333331</v>
      </c>
      <c r="AA11" s="50">
        <v>0.89301759293914584</v>
      </c>
      <c r="AB11" s="50">
        <v>1.05519779208831</v>
      </c>
      <c r="AC11" s="50">
        <v>9.0232824196406033E-2</v>
      </c>
      <c r="AD11" s="5">
        <v>0.84446394500929067</v>
      </c>
    </row>
    <row r="12" spans="1:30" x14ac:dyDescent="0.25">
      <c r="A12" s="45">
        <v>9.9</v>
      </c>
      <c r="B12" s="50">
        <v>1.9359999999999999</v>
      </c>
      <c r="C12" s="50">
        <v>1.9324940403219339</v>
      </c>
      <c r="D12" s="50">
        <v>0.14702653618800229</v>
      </c>
      <c r="E12" s="50">
        <v>1.8150900621965429</v>
      </c>
      <c r="F12" s="45">
        <v>8.1666666669999906</v>
      </c>
      <c r="G12" s="50">
        <v>1.491599635</v>
      </c>
      <c r="H12" s="50">
        <v>1.4177794069886007</v>
      </c>
      <c r="I12" s="50">
        <v>0.11658659776981961</v>
      </c>
      <c r="J12" s="5">
        <v>1.2460924802270685</v>
      </c>
      <c r="K12" s="45">
        <v>19.75</v>
      </c>
      <c r="L12" s="50">
        <v>1.5592488185478883</v>
      </c>
      <c r="M12" s="50">
        <v>1.7175302560485499</v>
      </c>
      <c r="N12" s="50">
        <v>0.12874665573431449</v>
      </c>
      <c r="O12" s="50">
        <v>1.505239491161962</v>
      </c>
      <c r="P12" s="45">
        <v>12.499999999999998</v>
      </c>
      <c r="Q12" s="50">
        <v>0.73029628593416673</v>
      </c>
      <c r="R12" s="50">
        <v>0.82724653754182298</v>
      </c>
      <c r="S12" s="50">
        <v>7.8814182098158325E-2</v>
      </c>
      <c r="T12" s="5">
        <v>0.67783613959091571</v>
      </c>
      <c r="U12" s="45">
        <v>20.9</v>
      </c>
      <c r="V12" s="50">
        <v>0.64851952134117474</v>
      </c>
      <c r="W12" s="50">
        <v>0.75</v>
      </c>
      <c r="X12" s="50">
        <v>7.0338165118773055E-2</v>
      </c>
      <c r="Y12" s="5">
        <v>0.5758542824688595</v>
      </c>
      <c r="Z12" s="45">
        <v>99.1</v>
      </c>
      <c r="AA12" s="50">
        <v>1.0809083823923153</v>
      </c>
      <c r="AB12" s="50">
        <v>1.27690892364305</v>
      </c>
      <c r="AC12" s="50">
        <v>9.704379706938869E-2</v>
      </c>
      <c r="AD12" s="5">
        <v>0.99211408733903061</v>
      </c>
    </row>
    <row r="13" spans="1:30" x14ac:dyDescent="0.25">
      <c r="A13" s="45">
        <v>14</v>
      </c>
      <c r="B13" s="50">
        <v>1.97</v>
      </c>
      <c r="C13" s="50">
        <v>1.966494040321934</v>
      </c>
      <c r="D13" s="50">
        <v>0.15884520775080713</v>
      </c>
      <c r="E13" s="50">
        <v>2.0225578739798844</v>
      </c>
      <c r="F13" s="45">
        <v>10.66666667</v>
      </c>
      <c r="G13" s="50">
        <v>1.699937778</v>
      </c>
      <c r="H13" s="50">
        <v>1.6161966860362196</v>
      </c>
      <c r="I13" s="50">
        <v>0.1290147383074208</v>
      </c>
      <c r="J13" s="5">
        <v>1.5283324660938742</v>
      </c>
      <c r="K13" s="45">
        <v>23.966666666666665</v>
      </c>
      <c r="L13" s="50">
        <v>1.6726769060522886</v>
      </c>
      <c r="M13" s="50">
        <v>1.8423011523033901</v>
      </c>
      <c r="N13" s="50">
        <v>0.13699438364753888</v>
      </c>
      <c r="O13" s="50">
        <v>1.6510074704263509</v>
      </c>
      <c r="P13" s="45">
        <v>19.733333333333334</v>
      </c>
      <c r="Q13" s="50">
        <v>1.0294093456117837</v>
      </c>
      <c r="R13" s="50">
        <v>1.1652442949775299</v>
      </c>
      <c r="S13" s="50">
        <v>9.6270965276605627E-2</v>
      </c>
      <c r="T13" s="5">
        <v>0.90358278463039376</v>
      </c>
      <c r="U13" s="45">
        <v>28.799999999999997</v>
      </c>
      <c r="V13" s="50">
        <v>0.77570588167824173</v>
      </c>
      <c r="W13" s="50">
        <v>0.89674762255690799</v>
      </c>
      <c r="X13" s="50">
        <v>7.8009934378839338E-2</v>
      </c>
      <c r="Y13" s="5">
        <v>0.6779872851041383</v>
      </c>
      <c r="Z13" s="45">
        <v>120.1</v>
      </c>
      <c r="AA13" s="50">
        <v>1.2134714414518775</v>
      </c>
      <c r="AB13" s="50">
        <v>1.4333333333333333</v>
      </c>
      <c r="AC13" s="50">
        <v>0.10781108229079213</v>
      </c>
      <c r="AD13" s="5">
        <v>1.1009571828165272</v>
      </c>
    </row>
    <row r="14" spans="1:30" ht="15.75" thickBot="1" x14ac:dyDescent="0.3">
      <c r="A14" s="46">
        <v>22.666666670000001</v>
      </c>
      <c r="B14" s="8">
        <v>1.97</v>
      </c>
      <c r="C14" s="8">
        <v>1.966494040321934</v>
      </c>
      <c r="D14" s="8">
        <v>0.15884520775080713</v>
      </c>
      <c r="E14" s="8">
        <v>2.0225578739798844</v>
      </c>
      <c r="F14" s="45">
        <v>12.66666667</v>
      </c>
      <c r="G14" s="50">
        <v>1.800607888</v>
      </c>
      <c r="H14" s="50">
        <v>1.712072981274315</v>
      </c>
      <c r="I14" s="50">
        <v>0.13467798266429201</v>
      </c>
      <c r="J14" s="5">
        <v>1.5943338370872919</v>
      </c>
      <c r="K14" s="45">
        <v>27.650000000000002</v>
      </c>
      <c r="L14" s="50">
        <v>1.7322893712296701</v>
      </c>
      <c r="M14" s="50">
        <v>1.9078748639985099</v>
      </c>
      <c r="N14" s="50">
        <v>0.14121458977886117</v>
      </c>
      <c r="O14" s="50">
        <v>1.6968523829543365</v>
      </c>
      <c r="P14" s="45">
        <v>23.950000000000003</v>
      </c>
      <c r="Q14" s="50">
        <v>1.1779868799088633</v>
      </c>
      <c r="R14" s="50">
        <v>1.3331369087332301</v>
      </c>
      <c r="S14" s="50">
        <v>0.10677016792490271</v>
      </c>
      <c r="T14" s="5">
        <v>1.1498757946901996</v>
      </c>
      <c r="U14" s="45">
        <v>39.25</v>
      </c>
      <c r="V14" s="50">
        <v>1.0279212414917469</v>
      </c>
      <c r="W14" s="50">
        <v>1.18775370470973</v>
      </c>
      <c r="X14" s="50">
        <v>9.1992116082416309E-2</v>
      </c>
      <c r="Y14" s="5">
        <v>0.89460655628738683</v>
      </c>
      <c r="Z14" s="45">
        <v>144.15</v>
      </c>
      <c r="AA14" s="50">
        <v>1.3264657917343634</v>
      </c>
      <c r="AB14" s="50">
        <v>1.5666666666666667</v>
      </c>
      <c r="AC14" s="50">
        <v>0.11447125871640249</v>
      </c>
      <c r="AD14" s="5">
        <v>1.2396675741846268</v>
      </c>
    </row>
    <row r="15" spans="1:30" x14ac:dyDescent="0.25">
      <c r="F15" s="45">
        <v>13.58333333</v>
      </c>
      <c r="G15" s="50">
        <v>1.826120314</v>
      </c>
      <c r="H15" s="50">
        <v>1.7363705298457435</v>
      </c>
      <c r="I15" s="50">
        <v>0.13886677286907839</v>
      </c>
      <c r="J15" s="5">
        <v>1.6697564953829749</v>
      </c>
      <c r="K15" s="45">
        <v>32.116666666666667</v>
      </c>
      <c r="L15" s="50">
        <v>1.7615962689596611</v>
      </c>
      <c r="M15" s="50">
        <v>1.9401124515015</v>
      </c>
      <c r="N15" s="50">
        <v>0.14506618237216226</v>
      </c>
      <c r="O15" s="50">
        <v>1.8016320028673398</v>
      </c>
      <c r="P15" s="45">
        <v>27.633333333333333</v>
      </c>
      <c r="Q15" s="50">
        <v>1.2861801062445712</v>
      </c>
      <c r="R15" s="50">
        <v>1.4553952544925799</v>
      </c>
      <c r="S15" s="50">
        <v>0.11674996058780629</v>
      </c>
      <c r="T15" s="5">
        <v>1.2450958972241795</v>
      </c>
      <c r="U15" s="45">
        <v>47.95</v>
      </c>
      <c r="V15" s="50">
        <v>1.1556570231267875</v>
      </c>
      <c r="W15" s="50">
        <v>1.33513524956024</v>
      </c>
      <c r="X15" s="50">
        <v>0.10118441618682004</v>
      </c>
      <c r="Y15" s="5">
        <v>1.0502654909557532</v>
      </c>
      <c r="Z15" s="45">
        <v>167.88333333333333</v>
      </c>
      <c r="AA15" s="50">
        <v>1.3982177239169595</v>
      </c>
      <c r="AB15" s="50">
        <v>1.65133394664213</v>
      </c>
      <c r="AC15" s="50">
        <v>0.11677090453883021</v>
      </c>
      <c r="AD15" s="5">
        <v>1.2927018469674272</v>
      </c>
    </row>
    <row r="16" spans="1:30" x14ac:dyDescent="0.25">
      <c r="F16" s="45">
        <v>21.666666670000001</v>
      </c>
      <c r="G16" s="50">
        <v>1.879522586</v>
      </c>
      <c r="H16" s="50">
        <v>1.7872298365124102</v>
      </c>
      <c r="I16" s="50">
        <v>0.14451326206513049</v>
      </c>
      <c r="J16" s="5">
        <v>1.7664484340751614</v>
      </c>
      <c r="K16" s="45">
        <v>36.566666666666663</v>
      </c>
      <c r="L16" s="50">
        <v>1.7822510979996249</v>
      </c>
      <c r="M16" s="50">
        <v>1.9628327634454601</v>
      </c>
      <c r="N16" s="50">
        <v>0.14635842415033887</v>
      </c>
      <c r="O16" s="50">
        <v>1.8182148996893133</v>
      </c>
      <c r="P16" s="45">
        <v>32.1</v>
      </c>
      <c r="Q16" s="50">
        <v>1.3939477226148986</v>
      </c>
      <c r="R16" s="50">
        <v>1.5771726609910499</v>
      </c>
      <c r="S16" s="50">
        <v>0.12034394258351301</v>
      </c>
      <c r="T16" s="5">
        <v>1.343878391294405</v>
      </c>
      <c r="U16" s="45">
        <v>53.86666666666666</v>
      </c>
      <c r="V16" s="50">
        <v>1.2652607436120276</v>
      </c>
      <c r="W16" s="50">
        <v>1.46159602225611</v>
      </c>
      <c r="X16" s="50">
        <v>0.10671361925713808</v>
      </c>
      <c r="Y16" s="5">
        <v>1.1518782109410128</v>
      </c>
      <c r="Z16" s="45">
        <v>191.41666666666666</v>
      </c>
      <c r="AA16" s="50">
        <v>1.4504529226446035</v>
      </c>
      <c r="AB16" s="50">
        <v>1.7129714811407499</v>
      </c>
      <c r="AC16" s="50">
        <v>0.11906636157105314</v>
      </c>
      <c r="AD16" s="5">
        <v>1.3429610462395567</v>
      </c>
    </row>
    <row r="17" spans="6:30" ht="15.75" thickBot="1" x14ac:dyDescent="0.3">
      <c r="F17" s="45">
        <v>23.666666670000001</v>
      </c>
      <c r="G17" s="50">
        <v>1.8998627050000001</v>
      </c>
      <c r="H17" s="50">
        <v>1.8066013784171722</v>
      </c>
      <c r="I17" s="50">
        <v>0.14371739192622107</v>
      </c>
      <c r="J17" s="5">
        <v>1.7822995143417739</v>
      </c>
      <c r="K17" s="46">
        <v>45.783333333333331</v>
      </c>
      <c r="L17" s="8">
        <v>1.7860378237784156</v>
      </c>
      <c r="M17" s="8">
        <v>1.9669981618021299</v>
      </c>
      <c r="N17" s="8">
        <v>0.14516671333707715</v>
      </c>
      <c r="O17" s="8">
        <v>1.7938633678337876</v>
      </c>
      <c r="P17" s="45">
        <v>35.716666666666669</v>
      </c>
      <c r="Q17" s="50">
        <v>1.4755350911496068</v>
      </c>
      <c r="R17" s="50">
        <v>1.66936638743527</v>
      </c>
      <c r="S17" s="50">
        <v>0.12618521052408763</v>
      </c>
      <c r="T17" s="5">
        <v>1.4642596839239106</v>
      </c>
      <c r="U17" s="45">
        <v>72.183333333333337</v>
      </c>
      <c r="V17" s="50">
        <v>1.4382883416983772</v>
      </c>
      <c r="W17" s="50">
        <v>1.6612352649281401</v>
      </c>
      <c r="X17" s="50">
        <v>0.1161886627003649</v>
      </c>
      <c r="Y17" s="5">
        <v>1.3035419124186389</v>
      </c>
      <c r="Z17" s="45">
        <v>215.08333333333334</v>
      </c>
      <c r="AA17" s="50">
        <v>1.4691640386067475</v>
      </c>
      <c r="AB17" s="50">
        <v>1.73505059797608</v>
      </c>
      <c r="AC17" s="50">
        <v>0.12256400139204977</v>
      </c>
      <c r="AD17" s="5">
        <v>1.3878489947386736</v>
      </c>
    </row>
    <row r="18" spans="6:30" ht="15.75" thickBot="1" x14ac:dyDescent="0.3">
      <c r="F18" s="46">
        <v>30</v>
      </c>
      <c r="G18" s="8">
        <v>1.8998627050000001</v>
      </c>
      <c r="H18" s="8">
        <v>1.8066013784171722</v>
      </c>
      <c r="I18" s="8">
        <v>0.14371739192622107</v>
      </c>
      <c r="J18" s="9">
        <v>1.7822995143417739</v>
      </c>
      <c r="P18" s="45">
        <v>44.933333333333337</v>
      </c>
      <c r="Q18" s="50">
        <v>1.5794083630614917</v>
      </c>
      <c r="R18" s="50">
        <v>1.7867431846957</v>
      </c>
      <c r="S18" s="50">
        <v>0.13645402971112147</v>
      </c>
      <c r="T18" s="5">
        <v>1.6455391793469276</v>
      </c>
      <c r="U18" s="45">
        <v>77.683333333333337</v>
      </c>
      <c r="V18" s="50">
        <v>1.4780745127577288</v>
      </c>
      <c r="W18" s="50">
        <v>1.70714054909642</v>
      </c>
      <c r="X18" s="50">
        <v>0.12020152371655027</v>
      </c>
      <c r="Y18" s="5">
        <v>1.3755775847679017</v>
      </c>
      <c r="Z18" s="45">
        <v>220.65</v>
      </c>
      <c r="AA18" s="50">
        <v>1.4761807070925443</v>
      </c>
      <c r="AB18" s="50">
        <v>1.74333026678932</v>
      </c>
      <c r="AC18" s="50">
        <v>0.12418925199150692</v>
      </c>
      <c r="AD18" s="5">
        <v>1.4001673540663251</v>
      </c>
    </row>
    <row r="19" spans="6:30" x14ac:dyDescent="0.25">
      <c r="P19" s="45">
        <v>51.433333333333337</v>
      </c>
      <c r="Q19" s="50">
        <v>1.6195317167715182</v>
      </c>
      <c r="R19" s="50">
        <v>1.83208257438803</v>
      </c>
      <c r="S19" s="50">
        <v>0.13943644833692936</v>
      </c>
      <c r="T19" s="5">
        <v>1.6696022082770987</v>
      </c>
      <c r="U19" s="45">
        <v>99.55</v>
      </c>
      <c r="V19" s="50">
        <v>1.5302503533837386</v>
      </c>
      <c r="W19" s="50">
        <v>1.7673410340107101</v>
      </c>
      <c r="X19" s="50">
        <v>0.12366146442570382</v>
      </c>
      <c r="Y19" s="5">
        <v>1.4153222224943163</v>
      </c>
      <c r="Z19" s="45">
        <v>235.88333333333333</v>
      </c>
      <c r="AA19" s="50">
        <v>1.4761807070925443</v>
      </c>
      <c r="AB19" s="50">
        <v>1.74333026678932</v>
      </c>
      <c r="AC19" s="50">
        <v>0.1259778654089507</v>
      </c>
      <c r="AD19" s="5">
        <v>1.4319253651356132</v>
      </c>
    </row>
    <row r="20" spans="6:30" ht="15.75" thickBot="1" x14ac:dyDescent="0.3">
      <c r="P20" s="45">
        <v>59.75</v>
      </c>
      <c r="Q20" s="50">
        <v>1.6555902441076864</v>
      </c>
      <c r="R20" s="50">
        <v>1.8728287102779</v>
      </c>
      <c r="S20" s="50">
        <v>0.13930240705037622</v>
      </c>
      <c r="T20" s="5">
        <v>1.668619762441151</v>
      </c>
      <c r="U20" s="45">
        <v>122.08333333333334</v>
      </c>
      <c r="V20" s="50">
        <v>1.542659274267826</v>
      </c>
      <c r="W20" s="50">
        <v>1.78165844692677</v>
      </c>
      <c r="X20" s="50">
        <v>0.12847647876610577</v>
      </c>
      <c r="Y20" s="5">
        <v>1.4714064581449768</v>
      </c>
      <c r="Z20" s="46">
        <v>267.0333333333333</v>
      </c>
      <c r="AA20" s="8">
        <v>1.4761807070925443</v>
      </c>
      <c r="AB20" s="8">
        <v>1.74333026678932</v>
      </c>
      <c r="AC20" s="8">
        <v>0.12544379465784045</v>
      </c>
      <c r="AD20" s="9">
        <v>1.4344162990440594</v>
      </c>
    </row>
    <row r="21" spans="6:30" ht="15.75" thickBot="1" x14ac:dyDescent="0.3">
      <c r="P21" s="46">
        <v>68.266666666666666</v>
      </c>
      <c r="Q21" s="8">
        <v>1.6687108689601289</v>
      </c>
      <c r="R21" s="8">
        <v>1.8876550163611601</v>
      </c>
      <c r="S21" s="8">
        <v>0.13986370493781761</v>
      </c>
      <c r="T21" s="9">
        <v>1.6869465922517175</v>
      </c>
      <c r="U21" s="46">
        <v>168.45</v>
      </c>
      <c r="V21" s="8">
        <v>1.5467947880756956</v>
      </c>
      <c r="W21" s="8">
        <v>1.78643000275829</v>
      </c>
      <c r="X21" s="8">
        <v>0.13028813052967589</v>
      </c>
      <c r="Y21" s="9">
        <v>1.5101449135576168</v>
      </c>
    </row>
  </sheetData>
  <mergeCells count="6">
    <mergeCell ref="Z1:AD1"/>
    <mergeCell ref="A1:E1"/>
    <mergeCell ref="F1:J1"/>
    <mergeCell ref="K1:O1"/>
    <mergeCell ref="P1:T1"/>
    <mergeCell ref="U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0%</vt:lpstr>
      <vt:lpstr>20%</vt:lpstr>
      <vt:lpstr>40%</vt:lpstr>
      <vt:lpstr>50%</vt:lpstr>
      <vt:lpstr>60%</vt:lpstr>
      <vt:lpstr>70%</vt:lpstr>
      <vt:lpstr>To plot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Sebastián Falcioni</dc:creator>
  <cp:lastModifiedBy>FIUBA</cp:lastModifiedBy>
  <dcterms:created xsi:type="dcterms:W3CDTF">2023-12-21T15:21:36Z</dcterms:created>
  <dcterms:modified xsi:type="dcterms:W3CDTF">2024-08-13T18:04:55Z</dcterms:modified>
</cp:coreProperties>
</file>