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D:\SEBA DOC\ESCRITURA\2024\ARTICULO 2024\Entrega Soft matter final\Data\"/>
    </mc:Choice>
  </mc:AlternateContent>
  <xr:revisionPtr revIDLastSave="0" documentId="13_ncr:1_{C8D9B135-24D8-49D3-8BFB-4C8844A61E7A}" xr6:coauthVersionLast="47" xr6:coauthVersionMax="47" xr10:uidLastSave="{00000000-0000-0000-0000-000000000000}"/>
  <bookViews>
    <workbookView xWindow="-120" yWindow="-120" windowWidth="20730" windowHeight="11040" activeTab="6" xr2:uid="{00000000-000D-0000-FFFF-FFFF00000000}"/>
  </bookViews>
  <sheets>
    <sheet name="0%" sheetId="2" r:id="rId1"/>
    <sheet name="20%" sheetId="3" r:id="rId2"/>
    <sheet name="40%" sheetId="4" r:id="rId3"/>
    <sheet name="50%" sheetId="5" r:id="rId4"/>
    <sheet name="60%" sheetId="1" r:id="rId5"/>
    <sheet name="70%" sheetId="6" r:id="rId6"/>
    <sheet name="To plot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3" l="1"/>
  <c r="AM4" i="7"/>
  <c r="AM5" i="7"/>
  <c r="AM6" i="7"/>
  <c r="AM7" i="7"/>
  <c r="AM8" i="7"/>
  <c r="AM9" i="7"/>
  <c r="AM10" i="7"/>
  <c r="AM11" i="7"/>
  <c r="AM12" i="7"/>
  <c r="AM13" i="7"/>
  <c r="AM14" i="7"/>
  <c r="AM15" i="7"/>
  <c r="AM16" i="7"/>
  <c r="AM3" i="7"/>
  <c r="AE4" i="7"/>
  <c r="AE5" i="7"/>
  <c r="AE6" i="7"/>
  <c r="AE7" i="7"/>
  <c r="AE8" i="7"/>
  <c r="AE9" i="7"/>
  <c r="AE10" i="7"/>
  <c r="AE11" i="7"/>
  <c r="AE12" i="7"/>
  <c r="AE13" i="7"/>
  <c r="AE14" i="7"/>
  <c r="AE15" i="7"/>
  <c r="AE16" i="7"/>
  <c r="AE17" i="7"/>
  <c r="AE18" i="7"/>
  <c r="AE19" i="7"/>
  <c r="AE20" i="7"/>
  <c r="AE21" i="7"/>
  <c r="AE22" i="7"/>
  <c r="AE23" i="7"/>
  <c r="AE3" i="7"/>
  <c r="W4" i="7"/>
  <c r="W5" i="7"/>
  <c r="W6" i="7"/>
  <c r="W7" i="7"/>
  <c r="W8" i="7"/>
  <c r="W9" i="7"/>
  <c r="W10" i="7"/>
  <c r="W11" i="7"/>
  <c r="W12" i="7"/>
  <c r="W13" i="7"/>
  <c r="W14" i="7"/>
  <c r="W15" i="7"/>
  <c r="W16" i="7"/>
  <c r="W17" i="7"/>
  <c r="W18" i="7"/>
  <c r="W19" i="7"/>
  <c r="W20" i="7"/>
  <c r="W21" i="7"/>
  <c r="W22" i="7"/>
  <c r="W23" i="7"/>
  <c r="W24" i="7"/>
  <c r="W3" i="7"/>
  <c r="O4" i="7"/>
  <c r="O5" i="7"/>
  <c r="O6" i="7"/>
  <c r="O7" i="7"/>
  <c r="O8" i="7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3" i="7"/>
  <c r="G4" i="7"/>
  <c r="G5" i="7"/>
  <c r="G6" i="7"/>
  <c r="G7" i="7"/>
  <c r="G8" i="7"/>
  <c r="G9" i="7"/>
  <c r="G10" i="7"/>
  <c r="G11" i="7"/>
  <c r="G12" i="7"/>
  <c r="G13" i="7"/>
  <c r="G14" i="7"/>
  <c r="G15" i="7"/>
  <c r="G16" i="7"/>
  <c r="G3" i="7"/>
  <c r="O6" i="2"/>
  <c r="M6" i="2"/>
  <c r="H4" i="7"/>
  <c r="L7" i="5"/>
  <c r="R15" i="4"/>
  <c r="O18" i="4"/>
  <c r="O5" i="3"/>
  <c r="O5" i="2"/>
  <c r="H6" i="6" l="1"/>
  <c r="H7" i="6"/>
  <c r="H8" i="6"/>
  <c r="H9" i="6"/>
  <c r="H10" i="6"/>
  <c r="H11" i="6"/>
  <c r="H12" i="6"/>
  <c r="H13" i="6"/>
  <c r="H14" i="6"/>
  <c r="H17" i="6"/>
  <c r="H18" i="6"/>
  <c r="H19" i="6"/>
  <c r="H20" i="6"/>
  <c r="H21" i="6"/>
  <c r="H5" i="6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4" i="1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4" i="5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4" i="4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5" i="3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5" i="2"/>
  <c r="N23" i="5"/>
  <c r="R5" i="1" l="1"/>
  <c r="R6" i="1"/>
  <c r="R7" i="1"/>
  <c r="R8" i="1"/>
  <c r="R9" i="1"/>
  <c r="R10" i="1"/>
  <c r="R11" i="1"/>
  <c r="R12" i="1"/>
  <c r="R13" i="1"/>
  <c r="R14" i="1"/>
  <c r="R15" i="1"/>
  <c r="R16" i="1"/>
  <c r="R17" i="1"/>
  <c r="R4" i="1"/>
  <c r="N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4" i="5"/>
  <c r="N4" i="5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9" i="4"/>
  <c r="O20" i="4"/>
  <c r="O21" i="4"/>
  <c r="O22" i="4"/>
  <c r="O23" i="4"/>
  <c r="O24" i="4"/>
  <c r="O25" i="4"/>
  <c r="O4" i="4"/>
  <c r="T5" i="4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4" i="4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7" i="2"/>
  <c r="O8" i="2"/>
  <c r="O9" i="2"/>
  <c r="O10" i="2"/>
  <c r="O11" i="2"/>
  <c r="O12" i="2"/>
  <c r="O13" i="2"/>
  <c r="O14" i="2"/>
  <c r="O15" i="2"/>
  <c r="O16" i="2"/>
  <c r="O17" i="2"/>
  <c r="O18" i="2"/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4" i="1"/>
  <c r="I4" i="1"/>
  <c r="E4" i="1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H4" i="5"/>
  <c r="E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4" i="5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I4" i="4"/>
  <c r="F4" i="4"/>
  <c r="C4" i="4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I5" i="3"/>
  <c r="F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5" i="3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5" i="2"/>
  <c r="AF16" i="7"/>
  <c r="AF8" i="7"/>
  <c r="AR4" i="7"/>
  <c r="AR5" i="7"/>
  <c r="AR6" i="7"/>
  <c r="AR7" i="7"/>
  <c r="AR8" i="7"/>
  <c r="AR9" i="7"/>
  <c r="AR10" i="7"/>
  <c r="AR11" i="7"/>
  <c r="AR12" i="7"/>
  <c r="AR13" i="7"/>
  <c r="AR14" i="7"/>
  <c r="AR15" i="7"/>
  <c r="AR16" i="7"/>
  <c r="AR17" i="7"/>
  <c r="AR18" i="7"/>
  <c r="AR19" i="7"/>
  <c r="AR3" i="7"/>
  <c r="AN14" i="7"/>
  <c r="AN15" i="7"/>
  <c r="AN16" i="7"/>
  <c r="T5" i="1"/>
  <c r="S5" i="1" s="1"/>
  <c r="T6" i="1"/>
  <c r="S6" i="1" s="1"/>
  <c r="U6" i="1" s="1"/>
  <c r="T7" i="1"/>
  <c r="S7" i="1" s="1"/>
  <c r="T8" i="1"/>
  <c r="S8" i="1" s="1"/>
  <c r="U8" i="1" s="1"/>
  <c r="T9" i="1"/>
  <c r="S9" i="1" s="1"/>
  <c r="U9" i="1" s="1"/>
  <c r="T10" i="1"/>
  <c r="S10" i="1" s="1"/>
  <c r="T11" i="1"/>
  <c r="S11" i="1" s="1"/>
  <c r="T12" i="1"/>
  <c r="S12" i="1" s="1"/>
  <c r="T13" i="1"/>
  <c r="S13" i="1" s="1"/>
  <c r="T14" i="1"/>
  <c r="S14" i="1" s="1"/>
  <c r="U14" i="1" s="1"/>
  <c r="T15" i="1"/>
  <c r="S15" i="1" s="1"/>
  <c r="T16" i="1"/>
  <c r="S16" i="1" s="1"/>
  <c r="U16" i="1" s="1"/>
  <c r="T17" i="1"/>
  <c r="S17" i="1" s="1"/>
  <c r="T4" i="1"/>
  <c r="S4" i="1" s="1"/>
  <c r="J16" i="1"/>
  <c r="J17" i="1"/>
  <c r="N16" i="1"/>
  <c r="N17" i="1"/>
  <c r="F16" i="1"/>
  <c r="F17" i="1"/>
  <c r="X4" i="7"/>
  <c r="X5" i="7"/>
  <c r="X6" i="7"/>
  <c r="X7" i="7"/>
  <c r="X8" i="7"/>
  <c r="X9" i="7"/>
  <c r="X10" i="7"/>
  <c r="X11" i="7"/>
  <c r="X12" i="7"/>
  <c r="X13" i="7"/>
  <c r="X14" i="7"/>
  <c r="X15" i="7"/>
  <c r="X16" i="7"/>
  <c r="X17" i="7"/>
  <c r="X18" i="7"/>
  <c r="X19" i="7"/>
  <c r="X20" i="7"/>
  <c r="X21" i="7"/>
  <c r="X22" i="7"/>
  <c r="X23" i="7"/>
  <c r="X24" i="7"/>
  <c r="X3" i="7"/>
  <c r="AN4" i="7"/>
  <c r="AN5" i="7"/>
  <c r="AN6" i="7"/>
  <c r="AN7" i="7"/>
  <c r="AN8" i="7"/>
  <c r="AN9" i="7"/>
  <c r="AN10" i="7"/>
  <c r="AN11" i="7"/>
  <c r="AN12" i="7"/>
  <c r="AN13" i="7"/>
  <c r="AN3" i="7"/>
  <c r="L5" i="5"/>
  <c r="M5" i="5" s="1"/>
  <c r="L6" i="5"/>
  <c r="M6" i="5" s="1"/>
  <c r="M7" i="5"/>
  <c r="L8" i="5"/>
  <c r="M8" i="5" s="1"/>
  <c r="L9" i="5"/>
  <c r="M9" i="5" s="1"/>
  <c r="L10" i="5"/>
  <c r="M10" i="5" s="1"/>
  <c r="L11" i="5"/>
  <c r="M11" i="5" s="1"/>
  <c r="L12" i="5"/>
  <c r="M12" i="5" s="1"/>
  <c r="L13" i="5"/>
  <c r="M13" i="5" s="1"/>
  <c r="L14" i="5"/>
  <c r="M14" i="5" s="1"/>
  <c r="L15" i="5"/>
  <c r="M15" i="5" s="1"/>
  <c r="L16" i="5"/>
  <c r="M16" i="5" s="1"/>
  <c r="L17" i="5"/>
  <c r="M17" i="5" s="1"/>
  <c r="L18" i="5"/>
  <c r="M18" i="5" s="1"/>
  <c r="L19" i="5"/>
  <c r="M19" i="5" s="1"/>
  <c r="L20" i="5"/>
  <c r="M20" i="5" s="1"/>
  <c r="L21" i="5"/>
  <c r="M21" i="5" s="1"/>
  <c r="L22" i="5"/>
  <c r="M22" i="5" s="1"/>
  <c r="L23" i="5"/>
  <c r="M23" i="5" s="1"/>
  <c r="L24" i="5"/>
  <c r="M24" i="5" s="1"/>
  <c r="L4" i="5"/>
  <c r="M4" i="5" s="1"/>
  <c r="AF4" i="7"/>
  <c r="AF5" i="7"/>
  <c r="AF6" i="7"/>
  <c r="AF7" i="7"/>
  <c r="AF9" i="7"/>
  <c r="AF10" i="7"/>
  <c r="AF11" i="7"/>
  <c r="AF12" i="7"/>
  <c r="AF13" i="7"/>
  <c r="AF14" i="7"/>
  <c r="AF15" i="7"/>
  <c r="AF17" i="7"/>
  <c r="AF18" i="7"/>
  <c r="AF19" i="7"/>
  <c r="AF20" i="7"/>
  <c r="AF21" i="7"/>
  <c r="AF22" i="7"/>
  <c r="AF23" i="7"/>
  <c r="AF3" i="7"/>
  <c r="R4" i="4"/>
  <c r="S4" i="4" s="1"/>
  <c r="R5" i="4"/>
  <c r="R6" i="4"/>
  <c r="S6" i="4" s="1"/>
  <c r="R7" i="4"/>
  <c r="S7" i="4" s="1"/>
  <c r="R8" i="4"/>
  <c r="R9" i="4"/>
  <c r="R10" i="4"/>
  <c r="S10" i="4" s="1"/>
  <c r="R11" i="4"/>
  <c r="S11" i="4" s="1"/>
  <c r="R12" i="4"/>
  <c r="S12" i="4" s="1"/>
  <c r="R13" i="4"/>
  <c r="R14" i="4"/>
  <c r="S14" i="4" s="1"/>
  <c r="S15" i="4"/>
  <c r="R16" i="4"/>
  <c r="R17" i="4"/>
  <c r="R18" i="4"/>
  <c r="S18" i="4" s="1"/>
  <c r="R19" i="4"/>
  <c r="R20" i="4"/>
  <c r="S20" i="4" s="1"/>
  <c r="R21" i="4"/>
  <c r="S21" i="4" s="1"/>
  <c r="R22" i="4"/>
  <c r="S22" i="4" s="1"/>
  <c r="R23" i="4"/>
  <c r="S23" i="4" s="1"/>
  <c r="R24" i="4"/>
  <c r="R25" i="4"/>
  <c r="S25" i="4" s="1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4" i="4"/>
  <c r="P4" i="7"/>
  <c r="P5" i="7"/>
  <c r="P6" i="7"/>
  <c r="P7" i="7"/>
  <c r="P8" i="7"/>
  <c r="P9" i="7"/>
  <c r="P10" i="7"/>
  <c r="P11" i="7"/>
  <c r="P12" i="7"/>
  <c r="P13" i="7"/>
  <c r="P14" i="7"/>
  <c r="P15" i="7"/>
  <c r="P16" i="7"/>
  <c r="P17" i="7"/>
  <c r="P18" i="7"/>
  <c r="P19" i="7"/>
  <c r="P20" i="7"/>
  <c r="P21" i="7"/>
  <c r="P22" i="7"/>
  <c r="P23" i="7"/>
  <c r="P3" i="7"/>
  <c r="M6" i="3"/>
  <c r="N6" i="3" s="1"/>
  <c r="M7" i="3"/>
  <c r="N7" i="3" s="1"/>
  <c r="M8" i="3"/>
  <c r="N8" i="3" s="1"/>
  <c r="M9" i="3"/>
  <c r="N9" i="3" s="1"/>
  <c r="M10" i="3"/>
  <c r="N10" i="3" s="1"/>
  <c r="M11" i="3"/>
  <c r="N11" i="3" s="1"/>
  <c r="M12" i="3"/>
  <c r="N12" i="3" s="1"/>
  <c r="M13" i="3"/>
  <c r="N13" i="3" s="1"/>
  <c r="M14" i="3"/>
  <c r="N14" i="3" s="1"/>
  <c r="M15" i="3"/>
  <c r="N15" i="3" s="1"/>
  <c r="M16" i="3"/>
  <c r="N16" i="3" s="1"/>
  <c r="M17" i="3"/>
  <c r="N17" i="3" s="1"/>
  <c r="M18" i="3"/>
  <c r="N18" i="3" s="1"/>
  <c r="M19" i="3"/>
  <c r="N19" i="3" s="1"/>
  <c r="M20" i="3"/>
  <c r="N20" i="3" s="1"/>
  <c r="M21" i="3"/>
  <c r="N21" i="3" s="1"/>
  <c r="M22" i="3"/>
  <c r="M23" i="3"/>
  <c r="N23" i="3" s="1"/>
  <c r="M24" i="3"/>
  <c r="N24" i="3" s="1"/>
  <c r="M25" i="3"/>
  <c r="N25" i="3" s="1"/>
  <c r="M5" i="3"/>
  <c r="N5" i="3" s="1"/>
  <c r="H5" i="7"/>
  <c r="H6" i="7"/>
  <c r="H7" i="7"/>
  <c r="H8" i="7"/>
  <c r="H9" i="7"/>
  <c r="H10" i="7"/>
  <c r="H11" i="7"/>
  <c r="H12" i="7"/>
  <c r="H13" i="7"/>
  <c r="H14" i="7"/>
  <c r="H15" i="7"/>
  <c r="H16" i="7"/>
  <c r="H3" i="7"/>
  <c r="N6" i="2"/>
  <c r="M7" i="2"/>
  <c r="N7" i="2" s="1"/>
  <c r="M8" i="2"/>
  <c r="N8" i="2" s="1"/>
  <c r="M9" i="2"/>
  <c r="N9" i="2" s="1"/>
  <c r="M10" i="2"/>
  <c r="N10" i="2" s="1"/>
  <c r="M11" i="2"/>
  <c r="N11" i="2" s="1"/>
  <c r="M12" i="2"/>
  <c r="N12" i="2" s="1"/>
  <c r="M13" i="2"/>
  <c r="N13" i="2" s="1"/>
  <c r="M14" i="2"/>
  <c r="N14" i="2" s="1"/>
  <c r="M15" i="2"/>
  <c r="N15" i="2" s="1"/>
  <c r="M16" i="2"/>
  <c r="N16" i="2" s="1"/>
  <c r="M17" i="2"/>
  <c r="N17" i="2" s="1"/>
  <c r="M18" i="2"/>
  <c r="N18" i="2" s="1"/>
  <c r="M5" i="2"/>
  <c r="N5" i="2" s="1"/>
  <c r="U13" i="1" l="1"/>
  <c r="U7" i="1"/>
  <c r="U15" i="1"/>
  <c r="U12" i="1"/>
  <c r="U11" i="1"/>
  <c r="P23" i="3"/>
  <c r="P25" i="3"/>
  <c r="U17" i="1"/>
  <c r="U10" i="1"/>
  <c r="U24" i="4"/>
  <c r="U16" i="4"/>
  <c r="U8" i="4"/>
  <c r="U23" i="4"/>
  <c r="U15" i="4"/>
  <c r="U10" i="4"/>
  <c r="U25" i="4"/>
  <c r="U17" i="4"/>
  <c r="U9" i="4"/>
  <c r="U7" i="4"/>
  <c r="U21" i="4"/>
  <c r="U13" i="4"/>
  <c r="U5" i="4"/>
  <c r="S13" i="4"/>
  <c r="U22" i="4"/>
  <c r="U14" i="4"/>
  <c r="U6" i="4"/>
  <c r="U19" i="4"/>
  <c r="U11" i="4"/>
  <c r="S8" i="4"/>
  <c r="S16" i="4"/>
  <c r="S24" i="4"/>
  <c r="S17" i="4"/>
  <c r="S5" i="4"/>
  <c r="S9" i="4"/>
  <c r="U18" i="4"/>
  <c r="U20" i="4"/>
  <c r="U12" i="4"/>
  <c r="S19" i="4"/>
  <c r="U4" i="4"/>
  <c r="P22" i="3"/>
  <c r="P24" i="3"/>
  <c r="N22" i="3"/>
  <c r="P20" i="3"/>
  <c r="P19" i="3"/>
  <c r="P17" i="3"/>
  <c r="P18" i="3"/>
  <c r="P21" i="3"/>
  <c r="N12" i="1" l="1"/>
  <c r="O5" i="5"/>
  <c r="O6" i="5"/>
  <c r="O7" i="5"/>
  <c r="O8" i="5"/>
  <c r="O9" i="5"/>
  <c r="O12" i="5"/>
  <c r="O13" i="5"/>
  <c r="O14" i="5"/>
  <c r="O15" i="5"/>
  <c r="O16" i="5"/>
  <c r="O17" i="5"/>
  <c r="O20" i="5"/>
  <c r="O21" i="5"/>
  <c r="O22" i="5"/>
  <c r="O23" i="5"/>
  <c r="O24" i="5"/>
  <c r="O4" i="5"/>
  <c r="P9" i="3"/>
  <c r="P5" i="3"/>
  <c r="P7" i="2"/>
  <c r="P8" i="2"/>
  <c r="P9" i="2"/>
  <c r="P10" i="2"/>
  <c r="P11" i="2"/>
  <c r="P12" i="2"/>
  <c r="P13" i="2"/>
  <c r="P14" i="2"/>
  <c r="P15" i="2"/>
  <c r="P16" i="2"/>
  <c r="P17" i="2"/>
  <c r="P18" i="2"/>
  <c r="P6" i="2"/>
  <c r="F16" i="6"/>
  <c r="F15" i="6"/>
  <c r="G16" i="6"/>
  <c r="H16" i="6" s="1"/>
  <c r="G15" i="6"/>
  <c r="H15" i="6" s="1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5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F21" i="6"/>
  <c r="F20" i="6"/>
  <c r="F19" i="6"/>
  <c r="F18" i="6"/>
  <c r="F17" i="6"/>
  <c r="F14" i="6"/>
  <c r="F13" i="6"/>
  <c r="F12" i="6"/>
  <c r="F11" i="6"/>
  <c r="F10" i="6"/>
  <c r="F9" i="6"/>
  <c r="F8" i="6"/>
  <c r="F7" i="6"/>
  <c r="F6" i="6"/>
  <c r="F5" i="6"/>
  <c r="N14" i="1"/>
  <c r="N5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4" i="4"/>
  <c r="J5" i="1"/>
  <c r="F5" i="1"/>
  <c r="N5" i="1"/>
  <c r="N8" i="1"/>
  <c r="N10" i="1"/>
  <c r="N15" i="1"/>
  <c r="N4" i="1"/>
  <c r="J8" i="1"/>
  <c r="J10" i="1"/>
  <c r="J12" i="1"/>
  <c r="J14" i="1"/>
  <c r="J15" i="1"/>
  <c r="J4" i="1"/>
  <c r="F6" i="1"/>
  <c r="F7" i="1"/>
  <c r="F8" i="1"/>
  <c r="F9" i="1"/>
  <c r="F10" i="1"/>
  <c r="F11" i="1"/>
  <c r="F12" i="1"/>
  <c r="F13" i="1"/>
  <c r="F14" i="1"/>
  <c r="F15" i="1"/>
  <c r="F4" i="1"/>
  <c r="O11" i="5" l="1"/>
  <c r="O10" i="5"/>
  <c r="O19" i="5"/>
  <c r="O18" i="5"/>
  <c r="P9" i="4"/>
  <c r="P22" i="4"/>
  <c r="P6" i="4"/>
  <c r="P14" i="4"/>
  <c r="P23" i="4"/>
  <c r="P20" i="4"/>
  <c r="P24" i="4"/>
  <c r="P15" i="4"/>
  <c r="P8" i="4"/>
  <c r="P7" i="4"/>
  <c r="P16" i="4"/>
  <c r="P25" i="4"/>
  <c r="P17" i="4"/>
  <c r="P12" i="4"/>
  <c r="P19" i="4"/>
  <c r="P11" i="4"/>
  <c r="P4" i="4"/>
  <c r="P18" i="4"/>
  <c r="P10" i="4"/>
  <c r="P15" i="3"/>
  <c r="P7" i="3"/>
  <c r="P14" i="3"/>
  <c r="P6" i="3"/>
  <c r="P13" i="3"/>
  <c r="P12" i="3"/>
  <c r="P11" i="3"/>
  <c r="P10" i="3"/>
  <c r="P16" i="3"/>
  <c r="P8" i="3"/>
  <c r="P13" i="4"/>
  <c r="P21" i="4"/>
  <c r="P5" i="4"/>
  <c r="N6" i="4"/>
  <c r="U5" i="1" l="1"/>
</calcChain>
</file>

<file path=xl/sharedStrings.xml><?xml version="1.0" encoding="utf-8"?>
<sst xmlns="http://schemas.openxmlformats.org/spreadsheetml/2006/main" count="142" uniqueCount="28">
  <si>
    <t>err_%</t>
  </si>
  <si>
    <t>m (g)</t>
  </si>
  <si>
    <t>t (hs)</t>
  </si>
  <si>
    <t>desv_std</t>
  </si>
  <si>
    <t>m10_g</t>
  </si>
  <si>
    <t>t_h</t>
  </si>
  <si>
    <t>m</t>
  </si>
  <si>
    <t>mind</t>
  </si>
  <si>
    <t>t</t>
  </si>
  <si>
    <t>m3_g</t>
  </si>
  <si>
    <t>Q</t>
  </si>
  <si>
    <t>tnorm</t>
  </si>
  <si>
    <t>tau (h)</t>
  </si>
  <si>
    <t>m0</t>
  </si>
  <si>
    <t>Dm</t>
  </si>
  <si>
    <t>Dm0</t>
  </si>
  <si>
    <t>DQ</t>
  </si>
  <si>
    <t>mean</t>
  </si>
  <si>
    <t>ind mean</t>
  </si>
  <si>
    <t>NH</t>
  </si>
  <si>
    <t>bad repetition - small hydrogels/breakage</t>
  </si>
  <si>
    <t>taking the 3 - lot of error</t>
  </si>
  <si>
    <t>taking 2 and 3</t>
  </si>
  <si>
    <t>NH=10</t>
  </si>
  <si>
    <t>NH=3</t>
  </si>
  <si>
    <t>we use only these repetition</t>
  </si>
  <si>
    <t>dq</t>
  </si>
  <si>
    <t>t (h)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</si>
</sst>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thick">
        <color rgb="FF000000"/>
      </top>
      <bottom style="medium">
        <color rgb="FFCCCCCC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CCCCCC"/>
      </right>
      <top style="thick">
        <color rgb="FF000000"/>
      </top>
      <bottom style="thick">
        <color rgb="FF000000"/>
      </bottom>
      <diagonal/>
    </border>
    <border>
      <left style="medium">
        <color indexed="64"/>
      </left>
      <right style="medium">
        <color rgb="FFCCCCCC"/>
      </right>
      <top style="medium">
        <color indexed="64"/>
      </top>
      <bottom style="thick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indexed="64"/>
      </top>
      <bottom style="thick">
        <color rgb="FF000000"/>
      </bottom>
      <diagonal/>
    </border>
    <border>
      <left style="medium">
        <color rgb="FFCCCCCC"/>
      </left>
      <right/>
      <top style="medium">
        <color indexed="64"/>
      </top>
      <bottom style="thick">
        <color rgb="FF000000"/>
      </bottom>
      <diagonal/>
    </border>
    <border>
      <left style="medium">
        <color rgb="FFCCCCCC"/>
      </left>
      <right style="medium">
        <color indexed="64"/>
      </right>
      <top style="medium">
        <color indexed="64"/>
      </top>
      <bottom style="thick">
        <color rgb="FF000000"/>
      </bottom>
      <diagonal/>
    </border>
    <border>
      <left style="medium">
        <color indexed="64"/>
      </left>
      <right style="medium">
        <color rgb="FFCCCCCC"/>
      </right>
      <top style="thick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indexed="64"/>
      </right>
      <top style="thick">
        <color rgb="FF000000"/>
      </top>
      <bottom style="medium">
        <color rgb="FFCCCCCC"/>
      </bottom>
      <diagonal/>
    </border>
    <border>
      <left style="medium">
        <color indexed="64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rgb="FFCCCCCC"/>
      </bottom>
      <diagonal/>
    </border>
    <border>
      <left style="medium">
        <color indexed="64"/>
      </left>
      <right style="medium">
        <color rgb="FFCCCCCC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indexed="64"/>
      </bottom>
      <diagonal/>
    </border>
    <border>
      <left/>
      <right style="medium">
        <color rgb="FFCCCCCC"/>
      </right>
      <top style="medium">
        <color indexed="64"/>
      </top>
      <bottom style="thick">
        <color rgb="FF000000"/>
      </bottom>
      <diagonal/>
    </border>
    <border>
      <left/>
      <right style="medium">
        <color rgb="FFCCCCCC"/>
      </right>
      <top style="thick">
        <color rgb="FF000000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indexed="64"/>
      </bottom>
      <diagonal/>
    </border>
    <border>
      <left/>
      <right/>
      <top style="medium">
        <color indexed="64"/>
      </top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indexed="64"/>
      </top>
      <bottom style="thick">
        <color rgb="FF000000"/>
      </bottom>
      <diagonal/>
    </border>
    <border>
      <left style="medium">
        <color indexed="64"/>
      </left>
      <right style="medium">
        <color rgb="FFCCCCCC"/>
      </right>
      <top/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indexed="64"/>
      </bottom>
      <diagonal/>
    </border>
    <border>
      <left style="medium">
        <color indexed="64"/>
      </left>
      <right style="thick">
        <color rgb="FF000000"/>
      </right>
      <top style="medium">
        <color indexed="64"/>
      </top>
      <bottom style="thick">
        <color rgb="FF000000"/>
      </bottom>
      <diagonal/>
    </border>
    <border>
      <left style="medium">
        <color indexed="64"/>
      </left>
      <right/>
      <top style="medium">
        <color indexed="64"/>
      </top>
      <bottom style="thick">
        <color rgb="FF000000"/>
      </bottom>
      <diagonal/>
    </border>
    <border>
      <left/>
      <right style="medium">
        <color indexed="64"/>
      </right>
      <top style="medium">
        <color indexed="64"/>
      </top>
      <bottom style="thick">
        <color rgb="FF000000"/>
      </bottom>
      <diagonal/>
    </border>
    <border>
      <left style="medium">
        <color indexed="64"/>
      </left>
      <right style="medium">
        <color rgb="FFCCCCCC"/>
      </right>
      <top style="thick">
        <color rgb="FF000000"/>
      </top>
      <bottom style="thick">
        <color rgb="FF000000"/>
      </bottom>
      <diagonal/>
    </border>
    <border>
      <left style="medium">
        <color rgb="FFCCCCCC"/>
      </left>
      <right style="medium">
        <color indexed="64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right"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horizontal="right" wrapText="1"/>
    </xf>
    <xf numFmtId="0" fontId="0" fillId="0" borderId="6" xfId="0" applyBorder="1" applyAlignment="1">
      <alignment horizontal="center" wrapText="1"/>
    </xf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8" xfId="0" applyBorder="1"/>
    <xf numFmtId="0" fontId="0" fillId="0" borderId="9" xfId="0" applyBorder="1"/>
    <xf numFmtId="0" fontId="0" fillId="0" borderId="14" xfId="0" applyBorder="1"/>
    <xf numFmtId="0" fontId="2" fillId="0" borderId="0" xfId="0" applyFont="1"/>
    <xf numFmtId="0" fontId="2" fillId="0" borderId="11" xfId="0" applyFont="1" applyBorder="1"/>
    <xf numFmtId="0" fontId="0" fillId="0" borderId="15" xfId="0" applyBorder="1"/>
    <xf numFmtId="0" fontId="0" fillId="0" borderId="16" xfId="0" applyBorder="1"/>
    <xf numFmtId="0" fontId="2" fillId="0" borderId="5" xfId="0" applyFont="1" applyBorder="1"/>
    <xf numFmtId="0" fontId="2" fillId="0" borderId="13" xfId="0" applyFont="1" applyBorder="1"/>
    <xf numFmtId="0" fontId="2" fillId="0" borderId="14" xfId="0" applyFont="1" applyBorder="1" applyAlignment="1">
      <alignment horizontal="center"/>
    </xf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1" fillId="0" borderId="14" xfId="0" applyFont="1" applyBorder="1" applyAlignment="1">
      <alignment wrapText="1"/>
    </xf>
    <xf numFmtId="0" fontId="0" fillId="0" borderId="11" xfId="0" applyBorder="1" applyAlignment="1">
      <alignment horizontal="center" wrapText="1"/>
    </xf>
    <xf numFmtId="0" fontId="1" fillId="0" borderId="17" xfId="0" applyFont="1" applyBorder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4" xfId="0" applyFont="1" applyBorder="1"/>
    <xf numFmtId="0" fontId="3" fillId="0" borderId="0" xfId="0" applyFont="1"/>
    <xf numFmtId="0" fontId="3" fillId="0" borderId="5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3" xfId="0" applyFont="1" applyBorder="1"/>
    <xf numFmtId="0" fontId="0" fillId="0" borderId="11" xfId="0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wrapText="1"/>
    </xf>
    <xf numFmtId="0" fontId="1" fillId="0" borderId="18" xfId="0" applyFont="1" applyBorder="1" applyAlignment="1">
      <alignment wrapText="1"/>
    </xf>
    <xf numFmtId="0" fontId="1" fillId="0" borderId="19" xfId="0" applyFont="1" applyBorder="1" applyAlignment="1">
      <alignment wrapText="1"/>
    </xf>
    <xf numFmtId="0" fontId="1" fillId="0" borderId="20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0" fillId="0" borderId="22" xfId="0" applyBorder="1" applyAlignment="1">
      <alignment horizontal="right" wrapText="1"/>
    </xf>
    <xf numFmtId="0" fontId="0" fillId="0" borderId="23" xfId="0" applyBorder="1" applyAlignment="1">
      <alignment horizontal="right" wrapText="1"/>
    </xf>
    <xf numFmtId="0" fontId="0" fillId="0" borderId="24" xfId="0" applyBorder="1" applyAlignment="1">
      <alignment horizontal="right" wrapText="1"/>
    </xf>
    <xf numFmtId="0" fontId="0" fillId="0" borderId="25" xfId="0" applyBorder="1" applyAlignment="1">
      <alignment horizontal="right" wrapText="1"/>
    </xf>
    <xf numFmtId="0" fontId="0" fillId="0" borderId="26" xfId="0" applyBorder="1" applyAlignment="1">
      <alignment horizontal="right" wrapText="1"/>
    </xf>
    <xf numFmtId="0" fontId="0" fillId="0" borderId="27" xfId="0" applyBorder="1" applyAlignment="1">
      <alignment horizontal="right" wrapText="1"/>
    </xf>
    <xf numFmtId="0" fontId="0" fillId="0" borderId="28" xfId="0" applyBorder="1" applyAlignment="1">
      <alignment horizontal="right" wrapText="1"/>
    </xf>
    <xf numFmtId="0" fontId="1" fillId="0" borderId="29" xfId="0" applyFont="1" applyBorder="1" applyAlignment="1">
      <alignment wrapText="1"/>
    </xf>
    <xf numFmtId="0" fontId="0" fillId="0" borderId="30" xfId="0" applyBorder="1" applyAlignment="1">
      <alignment horizontal="right" wrapText="1"/>
    </xf>
    <xf numFmtId="0" fontId="0" fillId="0" borderId="31" xfId="0" applyBorder="1" applyAlignment="1">
      <alignment horizontal="right" wrapText="1"/>
    </xf>
    <xf numFmtId="0" fontId="0" fillId="0" borderId="32" xfId="0" applyBorder="1" applyAlignment="1">
      <alignment horizontal="right" wrapText="1"/>
    </xf>
    <xf numFmtId="0" fontId="0" fillId="0" borderId="0" xfId="0" applyBorder="1"/>
    <xf numFmtId="0" fontId="1" fillId="0" borderId="33" xfId="0" applyFont="1" applyBorder="1" applyAlignment="1">
      <alignment wrapText="1"/>
    </xf>
    <xf numFmtId="0" fontId="1" fillId="0" borderId="34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0" fillId="0" borderId="24" xfId="0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0" fillId="0" borderId="36" xfId="0" applyBorder="1" applyAlignment="1">
      <alignment horizontal="right" wrapText="1"/>
    </xf>
    <xf numFmtId="0" fontId="0" fillId="0" borderId="36" xfId="0" applyBorder="1" applyAlignment="1">
      <alignment wrapText="1"/>
    </xf>
    <xf numFmtId="0" fontId="0" fillId="0" borderId="37" xfId="0" applyBorder="1" applyAlignment="1">
      <alignment wrapText="1"/>
    </xf>
    <xf numFmtId="0" fontId="0" fillId="0" borderId="25" xfId="0" applyBorder="1" applyAlignment="1">
      <alignment wrapText="1"/>
    </xf>
    <xf numFmtId="0" fontId="0" fillId="0" borderId="24" xfId="0" applyBorder="1" applyAlignment="1">
      <alignment wrapText="1"/>
    </xf>
    <xf numFmtId="0" fontId="0" fillId="0" borderId="26" xfId="0" applyBorder="1" applyAlignment="1">
      <alignment wrapText="1"/>
    </xf>
    <xf numFmtId="0" fontId="0" fillId="0" borderId="28" xfId="0" applyBorder="1" applyAlignment="1">
      <alignment wrapText="1"/>
    </xf>
    <xf numFmtId="0" fontId="1" fillId="0" borderId="38" xfId="0" applyFont="1" applyBorder="1" applyAlignment="1">
      <alignment wrapText="1"/>
    </xf>
    <xf numFmtId="0" fontId="0" fillId="0" borderId="39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40" xfId="0" applyBorder="1" applyAlignment="1">
      <alignment horizontal="center"/>
    </xf>
    <xf numFmtId="0" fontId="1" fillId="0" borderId="41" xfId="0" applyFont="1" applyBorder="1" applyAlignment="1">
      <alignment wrapText="1"/>
    </xf>
    <xf numFmtId="0" fontId="1" fillId="0" borderId="42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12" xfId="0" applyFont="1" applyBorder="1"/>
    <xf numFmtId="0" fontId="1" fillId="0" borderId="9" xfId="0" applyFont="1" applyBorder="1"/>
    <xf numFmtId="0" fontId="5" fillId="0" borderId="8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5" fillId="0" borderId="9" xfId="0" applyFont="1" applyBorder="1"/>
    <xf numFmtId="0" fontId="4" fillId="0" borderId="4" xfId="0" applyFont="1" applyBorder="1" applyAlignment="1">
      <alignment horizontal="right" wrapText="1"/>
    </xf>
    <xf numFmtId="0" fontId="4" fillId="0" borderId="0" xfId="0" applyFont="1" applyBorder="1" applyAlignment="1">
      <alignment horizontal="right" wrapText="1"/>
    </xf>
    <xf numFmtId="0" fontId="4" fillId="0" borderId="0" xfId="0" applyFont="1" applyBorder="1"/>
    <xf numFmtId="0" fontId="4" fillId="0" borderId="10" xfId="0" applyFont="1" applyBorder="1" applyAlignment="1">
      <alignment horizontal="right" wrapText="1"/>
    </xf>
    <xf numFmtId="0" fontId="4" fillId="0" borderId="11" xfId="0" applyFont="1" applyBorder="1" applyAlignment="1">
      <alignment horizontal="right" wrapText="1"/>
    </xf>
    <xf numFmtId="0" fontId="4" fillId="0" borderId="11" xfId="0" applyFont="1" applyBorder="1"/>
    <xf numFmtId="0" fontId="5" fillId="0" borderId="14" xfId="0" applyFont="1" applyBorder="1"/>
    <xf numFmtId="0" fontId="4" fillId="0" borderId="5" xfId="0" applyFont="1" applyBorder="1"/>
    <xf numFmtId="0" fontId="4" fillId="0" borderId="13" xfId="0" applyFont="1" applyBorder="1"/>
    <xf numFmtId="9" fontId="5" fillId="0" borderId="9" xfId="0" applyNumberFormat="1" applyFont="1" applyBorder="1" applyAlignment="1">
      <alignment horizontal="center"/>
    </xf>
    <xf numFmtId="9" fontId="5" fillId="0" borderId="8" xfId="0" applyNumberFormat="1" applyFont="1" applyBorder="1" applyAlignment="1">
      <alignment horizontal="center"/>
    </xf>
    <xf numFmtId="9" fontId="5" fillId="0" borderId="14" xfId="0" applyNumberFormat="1" applyFont="1" applyBorder="1" applyAlignment="1">
      <alignment horizontal="center"/>
    </xf>
    <xf numFmtId="0" fontId="4" fillId="0" borderId="4" xfId="0" applyFont="1" applyBorder="1"/>
    <xf numFmtId="0" fontId="4" fillId="0" borderId="10" xfId="0" applyFont="1" applyBorder="1"/>
    <xf numFmtId="9" fontId="5" fillId="0" borderId="2" xfId="0" applyNumberFormat="1" applyFont="1" applyBorder="1" applyAlignment="1">
      <alignment horizontal="center"/>
    </xf>
    <xf numFmtId="0" fontId="5" fillId="0" borderId="8" xfId="0" applyFont="1" applyBorder="1"/>
    <xf numFmtId="9" fontId="5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18"/>
  <sheetViews>
    <sheetView workbookViewId="0">
      <selection activeCell="O4" sqref="O4:O18"/>
    </sheetView>
  </sheetViews>
  <sheetFormatPr baseColWidth="10" defaultRowHeight="15" x14ac:dyDescent="0.25"/>
  <sheetData>
    <row r="1" spans="2:18" ht="15.75" thickBot="1" x14ac:dyDescent="0.3">
      <c r="B1" s="13" t="s">
        <v>19</v>
      </c>
      <c r="C1" s="15">
        <v>34</v>
      </c>
    </row>
    <row r="2" spans="2:18" ht="15.75" thickBot="1" x14ac:dyDescent="0.3">
      <c r="R2" t="s">
        <v>12</v>
      </c>
    </row>
    <row r="3" spans="2:18" ht="15.75" thickBot="1" x14ac:dyDescent="0.3">
      <c r="M3" s="47" t="s">
        <v>6</v>
      </c>
      <c r="N3" s="48"/>
      <c r="O3" s="48"/>
      <c r="P3" s="49"/>
      <c r="R3">
        <v>14.848329871657043</v>
      </c>
    </row>
    <row r="4" spans="2:18" ht="15.75" thickBot="1" x14ac:dyDescent="0.3">
      <c r="B4" s="51" t="s">
        <v>1</v>
      </c>
      <c r="C4" s="52" t="s">
        <v>10</v>
      </c>
      <c r="D4" s="54" t="s">
        <v>2</v>
      </c>
      <c r="E4" s="51" t="s">
        <v>1</v>
      </c>
      <c r="F4" s="52" t="s">
        <v>10</v>
      </c>
      <c r="G4" s="54" t="s">
        <v>2</v>
      </c>
      <c r="H4" s="62" t="s">
        <v>1</v>
      </c>
      <c r="I4" s="53" t="s">
        <v>10</v>
      </c>
      <c r="J4" s="54" t="s">
        <v>2</v>
      </c>
      <c r="K4" s="25" t="s">
        <v>11</v>
      </c>
      <c r="L4" s="50"/>
      <c r="M4" s="23" t="s">
        <v>17</v>
      </c>
      <c r="N4" s="24" t="s">
        <v>18</v>
      </c>
      <c r="O4" s="24" t="s">
        <v>3</v>
      </c>
      <c r="P4" s="26" t="s">
        <v>0</v>
      </c>
      <c r="R4">
        <v>26.136015465633143</v>
      </c>
    </row>
    <row r="5" spans="2:18" ht="16.5" thickTop="1" thickBot="1" x14ac:dyDescent="0.3">
      <c r="B5" s="55">
        <v>0.51</v>
      </c>
      <c r="C5" s="8">
        <f>(B5-$B$5)/$B$5</f>
        <v>0</v>
      </c>
      <c r="D5" s="56">
        <v>0</v>
      </c>
      <c r="E5" s="55">
        <v>0.51</v>
      </c>
      <c r="F5" s="8">
        <f>(E5-$E$5)/$E$5</f>
        <v>0</v>
      </c>
      <c r="G5" s="56">
        <v>0</v>
      </c>
      <c r="H5" s="63">
        <v>0.51</v>
      </c>
      <c r="I5" s="8">
        <f>(H5-$H$5)/$H$5</f>
        <v>0</v>
      </c>
      <c r="J5" s="56">
        <v>0</v>
      </c>
      <c r="K5" s="18">
        <f>J5/$R$3</f>
        <v>0</v>
      </c>
      <c r="M5" s="4">
        <f>AVERAGE(B5,E5,H5)</f>
        <v>0.51</v>
      </c>
      <c r="N5" s="66">
        <f>M5/34</f>
        <v>1.4999999999999999E-2</v>
      </c>
      <c r="O5" s="66">
        <f>_xlfn.STDEV.S(B5,E5,H5)/SQRT(34)</f>
        <v>0</v>
      </c>
      <c r="P5" s="5">
        <v>0</v>
      </c>
      <c r="R5">
        <v>55.404215939018833</v>
      </c>
    </row>
    <row r="6" spans="2:18" ht="15.75" thickBot="1" x14ac:dyDescent="0.3">
      <c r="B6" s="57">
        <v>4.859</v>
      </c>
      <c r="C6" s="6">
        <f t="shared" ref="C6:C18" si="0">(B6-$B$5)/$B$5</f>
        <v>8.5274509803921568</v>
      </c>
      <c r="D6" s="58">
        <v>0.25</v>
      </c>
      <c r="E6" s="57">
        <v>4.7939999999999996</v>
      </c>
      <c r="F6" s="6">
        <f t="shared" ref="F6:F18" si="1">(E6-$E$5)/$E$5</f>
        <v>8.4</v>
      </c>
      <c r="G6" s="58">
        <v>0.25</v>
      </c>
      <c r="H6" s="64">
        <v>4.7290000000000001</v>
      </c>
      <c r="I6" s="6">
        <f t="shared" ref="I6:I18" si="2">(H6-$H$5)/$H$5</f>
        <v>8.2725490196078439</v>
      </c>
      <c r="J6" s="58">
        <v>0.25</v>
      </c>
      <c r="K6" s="18">
        <f>J6/$R$3</f>
        <v>1.683691042433047E-2</v>
      </c>
      <c r="M6" s="4">
        <f>AVERAGE(B6,E6,H6)</f>
        <v>4.7939999999999996</v>
      </c>
      <c r="N6" s="66">
        <f t="shared" ref="N6:N18" si="3">M6/34</f>
        <v>0.14099999999999999</v>
      </c>
      <c r="O6" s="66">
        <f>_xlfn.STDEV.S(B6,E6,H6)/SQRT(34)</f>
        <v>1.1147408034263066E-2</v>
      </c>
      <c r="P6" s="5">
        <f>O6/N6*100</f>
        <v>7.9059631448674228</v>
      </c>
      <c r="R6">
        <v>89.385468381617031</v>
      </c>
    </row>
    <row r="7" spans="2:18" ht="15.75" thickBot="1" x14ac:dyDescent="0.3">
      <c r="B7" s="57">
        <v>9.2889999999999997</v>
      </c>
      <c r="C7" s="6">
        <f t="shared" si="0"/>
        <v>17.213725490196079</v>
      </c>
      <c r="D7" s="58">
        <v>0.5</v>
      </c>
      <c r="E7" s="57">
        <v>8.84</v>
      </c>
      <c r="F7" s="6">
        <f t="shared" si="1"/>
        <v>16.333333333333332</v>
      </c>
      <c r="G7" s="58">
        <v>0.5</v>
      </c>
      <c r="H7" s="64">
        <v>8.391</v>
      </c>
      <c r="I7" s="6">
        <f t="shared" si="2"/>
        <v>15.452941176470588</v>
      </c>
      <c r="J7" s="58">
        <v>0.5</v>
      </c>
      <c r="K7" s="18">
        <f>J7/$R$3</f>
        <v>3.367382084866094E-2</v>
      </c>
      <c r="M7" s="4">
        <f>AVERAGE(B7,E7,H7)</f>
        <v>8.8399999999999981</v>
      </c>
      <c r="N7" s="66">
        <f t="shared" si="3"/>
        <v>0.25999999999999995</v>
      </c>
      <c r="O7" s="66">
        <f>_xlfn.STDEV.S(B7,E7,H7)/SQRT(34)</f>
        <v>7.7002864728986431E-2</v>
      </c>
      <c r="P7" s="5">
        <f t="shared" ref="P7:P18" si="4">O7/N7*100</f>
        <v>29.616486434225553</v>
      </c>
      <c r="R7">
        <v>161.92805511777237</v>
      </c>
    </row>
    <row r="8" spans="2:18" ht="15.75" thickBot="1" x14ac:dyDescent="0.3">
      <c r="B8" s="57">
        <v>12.759</v>
      </c>
      <c r="C8" s="6">
        <f t="shared" si="0"/>
        <v>24.017647058823531</v>
      </c>
      <c r="D8" s="58">
        <v>0.75</v>
      </c>
      <c r="E8" s="57">
        <v>12.58</v>
      </c>
      <c r="F8" s="6">
        <f t="shared" si="1"/>
        <v>23.666666666666668</v>
      </c>
      <c r="G8" s="58">
        <v>0.75</v>
      </c>
      <c r="H8" s="64">
        <v>12.401</v>
      </c>
      <c r="I8" s="6">
        <f t="shared" si="2"/>
        <v>23.315686274509805</v>
      </c>
      <c r="J8" s="58">
        <v>0.75</v>
      </c>
      <c r="K8" s="18">
        <f>J8/$R$3</f>
        <v>5.0510731272991417E-2</v>
      </c>
      <c r="M8" s="4">
        <f>AVERAGE(B8,E8,H8)</f>
        <v>12.579999999999998</v>
      </c>
      <c r="N8" s="66">
        <f t="shared" si="3"/>
        <v>0.36999999999999994</v>
      </c>
      <c r="O8" s="66">
        <f>_xlfn.STDEV.S(B8,E8,H8)/SQRT(34)</f>
        <v>3.0698246740509128E-2</v>
      </c>
      <c r="P8" s="5">
        <f t="shared" si="4"/>
        <v>8.2968234433808465</v>
      </c>
      <c r="R8">
        <v>338.92605697095786</v>
      </c>
    </row>
    <row r="9" spans="2:18" ht="15.75" thickBot="1" x14ac:dyDescent="0.3">
      <c r="B9" s="57">
        <v>16.859000000000002</v>
      </c>
      <c r="C9" s="6">
        <f t="shared" si="0"/>
        <v>32.056862745098037</v>
      </c>
      <c r="D9" s="58">
        <v>1</v>
      </c>
      <c r="E9" s="57">
        <v>16.591999999999999</v>
      </c>
      <c r="F9" s="6">
        <f t="shared" si="1"/>
        <v>31.533333333333328</v>
      </c>
      <c r="G9" s="58">
        <v>1</v>
      </c>
      <c r="H9" s="64">
        <v>16.324999999999999</v>
      </c>
      <c r="I9" s="6">
        <f t="shared" si="2"/>
        <v>31.009803921568626</v>
      </c>
      <c r="J9" s="58">
        <v>1</v>
      </c>
      <c r="K9" s="18">
        <f>J9/$R$3</f>
        <v>6.7347641697321881E-2</v>
      </c>
      <c r="M9" s="4">
        <f>AVERAGE(B9,E9,H9)</f>
        <v>16.591999999999999</v>
      </c>
      <c r="N9" s="66">
        <f t="shared" si="3"/>
        <v>0.48799999999999999</v>
      </c>
      <c r="O9" s="66">
        <f>_xlfn.STDEV.S(B9,E9,H9)/SQRT(34)</f>
        <v>4.5790122233050068E-2</v>
      </c>
      <c r="P9" s="5">
        <f t="shared" si="4"/>
        <v>9.3832217690676369</v>
      </c>
    </row>
    <row r="10" spans="2:18" ht="15.75" thickBot="1" x14ac:dyDescent="0.3">
      <c r="B10" s="57">
        <v>23.853999999999999</v>
      </c>
      <c r="C10" s="6">
        <f t="shared" si="0"/>
        <v>45.772549019607837</v>
      </c>
      <c r="D10" s="58">
        <v>1.5</v>
      </c>
      <c r="E10" s="57">
        <v>23.494</v>
      </c>
      <c r="F10" s="6">
        <f t="shared" si="1"/>
        <v>45.066666666666663</v>
      </c>
      <c r="G10" s="58">
        <v>1.5</v>
      </c>
      <c r="H10" s="64">
        <v>23.134</v>
      </c>
      <c r="I10" s="6">
        <f t="shared" si="2"/>
        <v>44.360784313725489</v>
      </c>
      <c r="J10" s="58">
        <v>1.5</v>
      </c>
      <c r="K10" s="18">
        <f>J10/$R$3</f>
        <v>0.10102146254598283</v>
      </c>
      <c r="M10" s="4">
        <f>AVERAGE(B10,E10,H10)</f>
        <v>23.494</v>
      </c>
      <c r="N10" s="66">
        <f t="shared" si="3"/>
        <v>0.69099999999999995</v>
      </c>
      <c r="O10" s="66">
        <f>_xlfn.STDEV.S(B10,E10,H10)/SQRT(34)</f>
        <v>6.1739490651303082E-2</v>
      </c>
      <c r="P10" s="5">
        <f t="shared" si="4"/>
        <v>8.9348032780467559</v>
      </c>
    </row>
    <row r="11" spans="2:18" ht="15.75" thickBot="1" x14ac:dyDescent="0.3">
      <c r="B11" s="57">
        <v>30.225000000000001</v>
      </c>
      <c r="C11" s="6">
        <f t="shared" si="0"/>
        <v>58.264705882352942</v>
      </c>
      <c r="D11" s="58">
        <v>2</v>
      </c>
      <c r="E11" s="57">
        <v>29.716000000000001</v>
      </c>
      <c r="F11" s="6">
        <f t="shared" si="1"/>
        <v>57.266666666666666</v>
      </c>
      <c r="G11" s="58">
        <v>2</v>
      </c>
      <c r="H11" s="64">
        <v>29.207000000000001</v>
      </c>
      <c r="I11" s="6">
        <f t="shared" si="2"/>
        <v>56.268627450980389</v>
      </c>
      <c r="J11" s="58">
        <v>2</v>
      </c>
      <c r="K11" s="18">
        <f>J11/$R$3</f>
        <v>0.13469528339464376</v>
      </c>
      <c r="M11" s="4">
        <f>AVERAGE(B11,E11,H11)</f>
        <v>29.715999999999998</v>
      </c>
      <c r="N11" s="66">
        <f t="shared" si="3"/>
        <v>0.87399999999999989</v>
      </c>
      <c r="O11" s="66">
        <f>_xlfn.STDEV.S(B11,E11,H11)/SQRT(34)</f>
        <v>8.7292779837537054E-2</v>
      </c>
      <c r="P11" s="5">
        <f t="shared" si="4"/>
        <v>9.9877322468577869</v>
      </c>
    </row>
    <row r="12" spans="2:18" ht="15.75" thickBot="1" x14ac:dyDescent="0.3">
      <c r="B12" s="57">
        <v>40.396000000000001</v>
      </c>
      <c r="C12" s="6">
        <f t="shared" si="0"/>
        <v>78.207843137254912</v>
      </c>
      <c r="D12" s="58">
        <v>3</v>
      </c>
      <c r="E12" s="57">
        <v>39.678000000000004</v>
      </c>
      <c r="F12" s="6">
        <f t="shared" si="1"/>
        <v>76.800000000000011</v>
      </c>
      <c r="G12" s="58">
        <v>3</v>
      </c>
      <c r="H12" s="64">
        <v>38.959000000000003</v>
      </c>
      <c r="I12" s="6">
        <f t="shared" si="2"/>
        <v>75.390196078431387</v>
      </c>
      <c r="J12" s="58">
        <v>3</v>
      </c>
      <c r="K12" s="18">
        <f>J12/$R$3</f>
        <v>0.20204292509196567</v>
      </c>
      <c r="M12" s="4">
        <f>AVERAGE(B12,E12,H12)</f>
        <v>39.677666666666674</v>
      </c>
      <c r="N12" s="66">
        <f t="shared" si="3"/>
        <v>1.1669901960784317</v>
      </c>
      <c r="O12" s="66">
        <f>_xlfn.STDEV.S(B12,E12,H12)/SQRT(34)</f>
        <v>0.12322174337029823</v>
      </c>
      <c r="P12" s="5">
        <f t="shared" si="4"/>
        <v>10.558935609259967</v>
      </c>
    </row>
    <row r="13" spans="2:18" ht="15.75" thickBot="1" x14ac:dyDescent="0.3">
      <c r="B13" s="57">
        <v>49.253999999999998</v>
      </c>
      <c r="C13" s="6">
        <f t="shared" si="0"/>
        <v>95.576470588235296</v>
      </c>
      <c r="D13" s="58">
        <v>4</v>
      </c>
      <c r="E13" s="57">
        <v>48.45</v>
      </c>
      <c r="F13" s="6">
        <f t="shared" si="1"/>
        <v>94.000000000000014</v>
      </c>
      <c r="G13" s="58">
        <v>4</v>
      </c>
      <c r="H13" s="64">
        <v>47.646000000000001</v>
      </c>
      <c r="I13" s="6">
        <f t="shared" si="2"/>
        <v>92.423529411764704</v>
      </c>
      <c r="J13" s="58">
        <v>4</v>
      </c>
      <c r="K13" s="18">
        <f>J13/$R$3</f>
        <v>0.26939056678928752</v>
      </c>
      <c r="M13" s="4">
        <f>AVERAGE(B13,E13,H13)</f>
        <v>48.45000000000001</v>
      </c>
      <c r="N13" s="66">
        <f t="shared" si="3"/>
        <v>1.4250000000000003</v>
      </c>
      <c r="O13" s="66">
        <f>_xlfn.STDEV.S(B13,E13,H13)/SQRT(34)</f>
        <v>0.13788486245457685</v>
      </c>
      <c r="P13" s="5">
        <f t="shared" si="4"/>
        <v>9.6761306985667943</v>
      </c>
    </row>
    <row r="14" spans="2:18" ht="15.75" thickBot="1" x14ac:dyDescent="0.3">
      <c r="B14" s="57">
        <v>56.079000000000001</v>
      </c>
      <c r="C14" s="6">
        <f t="shared" si="0"/>
        <v>108.95882352941177</v>
      </c>
      <c r="D14" s="58">
        <v>5</v>
      </c>
      <c r="E14" s="57">
        <v>55.182000000000002</v>
      </c>
      <c r="F14" s="6">
        <f t="shared" si="1"/>
        <v>107.2</v>
      </c>
      <c r="G14" s="58">
        <v>5</v>
      </c>
      <c r="H14" s="64">
        <v>54.284999999999997</v>
      </c>
      <c r="I14" s="6">
        <f t="shared" si="2"/>
        <v>105.44117647058823</v>
      </c>
      <c r="J14" s="58">
        <v>5</v>
      </c>
      <c r="K14" s="18">
        <f>J14/$R$3</f>
        <v>0.3367382084866094</v>
      </c>
      <c r="M14" s="4">
        <f>AVERAGE(B14,E14,H14)</f>
        <v>55.181999999999995</v>
      </c>
      <c r="N14" s="66">
        <f t="shared" si="3"/>
        <v>1.6229999999999998</v>
      </c>
      <c r="O14" s="66">
        <f>_xlfn.STDEV.S(B14,E14,H14)/SQRT(34)</f>
        <v>0.15383423087283077</v>
      </c>
      <c r="P14" s="5">
        <f t="shared" si="4"/>
        <v>9.47838760769136</v>
      </c>
    </row>
    <row r="15" spans="2:18" ht="15.75" thickBot="1" x14ac:dyDescent="0.3">
      <c r="B15" s="57">
        <v>64.221000000000004</v>
      </c>
      <c r="C15" s="6">
        <f t="shared" si="0"/>
        <v>124.92352941176472</v>
      </c>
      <c r="D15" s="58">
        <v>7.36666666666666</v>
      </c>
      <c r="E15" s="57">
        <v>63.206000000000003</v>
      </c>
      <c r="F15" s="6">
        <f t="shared" si="1"/>
        <v>122.93333333333334</v>
      </c>
      <c r="G15" s="58">
        <v>7.36666666666666</v>
      </c>
      <c r="H15" s="64">
        <v>62.191000000000003</v>
      </c>
      <c r="I15" s="6">
        <f t="shared" si="2"/>
        <v>120.94313725490197</v>
      </c>
      <c r="J15" s="58">
        <v>7.36666666666666</v>
      </c>
      <c r="K15" s="18">
        <f>J15/$R$3</f>
        <v>0.49612762717027076</v>
      </c>
      <c r="M15" s="4">
        <f>AVERAGE(B15,E15,H15)</f>
        <v>63.205999999999996</v>
      </c>
      <c r="N15" s="66">
        <f t="shared" si="3"/>
        <v>1.859</v>
      </c>
      <c r="O15" s="66">
        <f>_xlfn.STDEV.S(B15,E15,H15)/SQRT(34)</f>
        <v>0.17407106391964655</v>
      </c>
      <c r="P15" s="5">
        <f t="shared" si="4"/>
        <v>9.3636935943865822</v>
      </c>
    </row>
    <row r="16" spans="2:18" ht="15.75" thickBot="1" x14ac:dyDescent="0.3">
      <c r="B16" s="57">
        <v>65.945999999999998</v>
      </c>
      <c r="C16" s="6">
        <f t="shared" si="0"/>
        <v>128.30588235294115</v>
      </c>
      <c r="D16" s="58">
        <v>9.9</v>
      </c>
      <c r="E16" s="57">
        <v>65.823999999999657</v>
      </c>
      <c r="F16" s="6">
        <f t="shared" si="1"/>
        <v>128.06666666666598</v>
      </c>
      <c r="G16" s="58">
        <v>9.9</v>
      </c>
      <c r="H16" s="64">
        <v>65.700999999999993</v>
      </c>
      <c r="I16" s="6">
        <f t="shared" si="2"/>
        <v>127.82549019607841</v>
      </c>
      <c r="J16" s="58">
        <v>9.9</v>
      </c>
      <c r="K16" s="18">
        <f>J16/$R$3</f>
        <v>0.66674165280348674</v>
      </c>
      <c r="M16" s="4">
        <f>AVERAGE(B16,E16,H16)</f>
        <v>65.82366666666654</v>
      </c>
      <c r="N16" s="66">
        <f t="shared" si="3"/>
        <v>1.9359901960784276</v>
      </c>
      <c r="O16" s="66">
        <f>_xlfn.STDEV.S(B16,E16,H16)/SQRT(34)</f>
        <v>2.1008635012728746E-2</v>
      </c>
      <c r="P16" s="5">
        <f t="shared" si="4"/>
        <v>1.0851622624579489</v>
      </c>
    </row>
    <row r="17" spans="2:16" ht="15.75" thickBot="1" x14ac:dyDescent="0.3">
      <c r="B17" s="57">
        <v>66.48</v>
      </c>
      <c r="C17" s="6">
        <f t="shared" si="0"/>
        <v>129.35294117647058</v>
      </c>
      <c r="D17" s="58">
        <v>12.5</v>
      </c>
      <c r="E17" s="57">
        <v>66.061999999999998</v>
      </c>
      <c r="F17" s="6">
        <f t="shared" si="1"/>
        <v>128.5333333333333</v>
      </c>
      <c r="G17" s="58">
        <v>12.5</v>
      </c>
      <c r="H17" s="64">
        <v>65.643000000000001</v>
      </c>
      <c r="I17" s="6">
        <f t="shared" si="2"/>
        <v>127.71176470588235</v>
      </c>
      <c r="J17" s="58">
        <v>12.5</v>
      </c>
      <c r="K17" s="18">
        <f>J17/$R$3</f>
        <v>0.84184552121652356</v>
      </c>
      <c r="M17" s="4">
        <f>AVERAGE(B17,E17,H17)</f>
        <v>66.061666666666667</v>
      </c>
      <c r="N17" s="66">
        <f t="shared" si="3"/>
        <v>1.9429901960784315</v>
      </c>
      <c r="O17" s="66">
        <f>_xlfn.STDEV.S(B17,E17,H17)/SQRT(34)</f>
        <v>7.1772174956867912E-2</v>
      </c>
      <c r="P17" s="5">
        <f t="shared" si="4"/>
        <v>3.69390309337262</v>
      </c>
    </row>
    <row r="18" spans="2:16" ht="15.75" thickBot="1" x14ac:dyDescent="0.3">
      <c r="B18" s="59">
        <v>66.941000000000003</v>
      </c>
      <c r="C18" s="60">
        <f t="shared" si="0"/>
        <v>130.25686274509803</v>
      </c>
      <c r="D18" s="61">
        <v>19.733333333333299</v>
      </c>
      <c r="E18" s="59">
        <v>66.096000000000004</v>
      </c>
      <c r="F18" s="60">
        <f t="shared" si="1"/>
        <v>128.6</v>
      </c>
      <c r="G18" s="61">
        <v>19.733333333333299</v>
      </c>
      <c r="H18" s="65">
        <v>65.25</v>
      </c>
      <c r="I18" s="60">
        <f t="shared" si="2"/>
        <v>126.94117647058822</v>
      </c>
      <c r="J18" s="61">
        <v>19.733333333333299</v>
      </c>
      <c r="K18" s="19">
        <f>J18/$R$3</f>
        <v>1.3289934628271496</v>
      </c>
      <c r="M18" s="10">
        <f>AVERAGE(B18,E18,H18)</f>
        <v>66.095666666666673</v>
      </c>
      <c r="N18" s="11">
        <f t="shared" si="3"/>
        <v>1.9439901960784316</v>
      </c>
      <c r="O18" s="11">
        <f>_xlfn.STDEV.S(B18,E18,H18)/SQRT(34)</f>
        <v>0.14500206218952802</v>
      </c>
      <c r="P18" s="12">
        <f t="shared" si="4"/>
        <v>7.4589914332920753</v>
      </c>
    </row>
  </sheetData>
  <mergeCells count="1">
    <mergeCell ref="M3:P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P25"/>
  <sheetViews>
    <sheetView topLeftCell="A9" workbookViewId="0">
      <selection activeCell="K4" sqref="K4:K25"/>
    </sheetView>
  </sheetViews>
  <sheetFormatPr baseColWidth="10" defaultRowHeight="15" x14ac:dyDescent="0.25"/>
  <sheetData>
    <row r="2" spans="2:16" ht="15.75" thickBot="1" x14ac:dyDescent="0.3"/>
    <row r="3" spans="2:16" ht="15.75" thickBot="1" x14ac:dyDescent="0.3">
      <c r="M3" s="47" t="s">
        <v>6</v>
      </c>
      <c r="N3" s="48"/>
      <c r="O3" s="48"/>
      <c r="P3" s="49"/>
    </row>
    <row r="4" spans="2:16" ht="15.75" thickBot="1" x14ac:dyDescent="0.3">
      <c r="B4" s="51" t="s">
        <v>1</v>
      </c>
      <c r="C4" s="67" t="s">
        <v>10</v>
      </c>
      <c r="D4" s="53" t="s">
        <v>2</v>
      </c>
      <c r="E4" s="81" t="s">
        <v>1</v>
      </c>
      <c r="F4" s="68" t="s">
        <v>10</v>
      </c>
      <c r="G4" s="54" t="s">
        <v>2</v>
      </c>
      <c r="H4" s="51" t="s">
        <v>1</v>
      </c>
      <c r="I4" s="53" t="s">
        <v>10</v>
      </c>
      <c r="J4" s="54" t="s">
        <v>2</v>
      </c>
      <c r="K4" s="25" t="s">
        <v>11</v>
      </c>
      <c r="L4" s="29"/>
      <c r="M4" s="23" t="s">
        <v>17</v>
      </c>
      <c r="N4" s="24" t="s">
        <v>18</v>
      </c>
      <c r="O4" s="24" t="s">
        <v>3</v>
      </c>
      <c r="P4" s="26" t="s">
        <v>0</v>
      </c>
    </row>
    <row r="5" spans="2:16" ht="16.5" thickTop="1" thickBot="1" x14ac:dyDescent="0.3">
      <c r="B5" s="70">
        <v>0.15</v>
      </c>
      <c r="C5" s="9">
        <f>(B5-$B$5)/$B$5</f>
        <v>0</v>
      </c>
      <c r="D5" s="74">
        <v>0</v>
      </c>
      <c r="E5" s="70">
        <v>0.15</v>
      </c>
      <c r="F5" s="9">
        <f>(E5-$B$5)/$B$5</f>
        <v>0</v>
      </c>
      <c r="G5" s="58">
        <v>0</v>
      </c>
      <c r="H5" s="70">
        <v>0.15</v>
      </c>
      <c r="I5" s="9">
        <f>(H5-$B$5)/$B$5</f>
        <v>0</v>
      </c>
      <c r="J5" s="58">
        <v>0</v>
      </c>
      <c r="K5" s="5">
        <f>J5/'0%'!$R$4</f>
        <v>0</v>
      </c>
      <c r="M5" s="1">
        <f>AVERAGE(H5,E5,B5)</f>
        <v>0.15</v>
      </c>
      <c r="N5" s="31">
        <f>M5/10</f>
        <v>1.4999999999999999E-2</v>
      </c>
      <c r="O5" s="2">
        <f>_xlfn.STDEV.S(B5,E5,H5)/SQRT(10)</f>
        <v>0</v>
      </c>
      <c r="P5" s="3">
        <f>O5/M5*100*10</f>
        <v>0</v>
      </c>
    </row>
    <row r="6" spans="2:16" ht="15.75" thickBot="1" x14ac:dyDescent="0.3">
      <c r="B6" s="70">
        <v>0.74099999999999999</v>
      </c>
      <c r="C6" s="9">
        <f t="shared" ref="C6:C25" si="0">(B6-$B$5)/$B$5</f>
        <v>3.94</v>
      </c>
      <c r="D6" s="74">
        <v>0.16666666666666599</v>
      </c>
      <c r="E6" s="70">
        <v>0.74</v>
      </c>
      <c r="F6" s="9">
        <f t="shared" ref="F6:F25" si="1">(E6-$B$5)/$B$5</f>
        <v>3.9333333333333331</v>
      </c>
      <c r="G6" s="58">
        <v>0.16666666666666599</v>
      </c>
      <c r="H6" s="70">
        <v>0.73899999999999999</v>
      </c>
      <c r="I6" s="9">
        <f t="shared" ref="I6:I25" si="2">(H6-$B$5)/$B$5</f>
        <v>3.9266666666666667</v>
      </c>
      <c r="J6" s="58">
        <v>0.16666666666666599</v>
      </c>
      <c r="K6" s="5">
        <f>J6/'0%'!$R$4</f>
        <v>6.3768965428498423E-3</v>
      </c>
      <c r="M6" s="4">
        <f>AVERAGE(H6,E6,B6)</f>
        <v>0.7400000000000001</v>
      </c>
      <c r="N6" s="32">
        <f t="shared" ref="N6:N25" si="3">M6/10</f>
        <v>7.400000000000001E-2</v>
      </c>
      <c r="O6">
        <f>_xlfn.STDEV.S(B6,E6,H6)/SQRT(10)</f>
        <v>3.1622776601683821E-4</v>
      </c>
      <c r="P6" s="5">
        <f t="shared" ref="P6:P25" si="4">O6/M6*100*10</f>
        <v>0.42733481894167319</v>
      </c>
    </row>
    <row r="7" spans="2:16" ht="15.75" thickBot="1" x14ac:dyDescent="0.3">
      <c r="B7" s="70">
        <v>1.1319999999999999</v>
      </c>
      <c r="C7" s="9">
        <f t="shared" si="0"/>
        <v>6.546666666666666</v>
      </c>
      <c r="D7" s="74">
        <v>0.33333333333333298</v>
      </c>
      <c r="E7" s="70">
        <v>1.111</v>
      </c>
      <c r="F7" s="9">
        <f t="shared" si="1"/>
        <v>6.4066666666666663</v>
      </c>
      <c r="G7" s="58">
        <v>0.33333333333333298</v>
      </c>
      <c r="H7" s="70">
        <v>1.0680000000000001</v>
      </c>
      <c r="I7" s="9">
        <f t="shared" si="2"/>
        <v>6.12</v>
      </c>
      <c r="J7" s="58">
        <v>0.33333333333333298</v>
      </c>
      <c r="K7" s="5">
        <f>J7/'0%'!$R$4</f>
        <v>1.2753793085699723E-2</v>
      </c>
      <c r="M7" s="4">
        <f>AVERAGE(H7,E7,B7)</f>
        <v>1.1036666666666666</v>
      </c>
      <c r="N7" s="32">
        <f t="shared" si="3"/>
        <v>0.11036666666666665</v>
      </c>
      <c r="O7">
        <f t="shared" ref="O7:O25" si="5">_xlfn.STDEV.S(B7,E7,H7)/SQRT(10)</f>
        <v>1.0316653204083813E-2</v>
      </c>
      <c r="P7" s="5">
        <f t="shared" si="4"/>
        <v>9.3476169170194634</v>
      </c>
    </row>
    <row r="8" spans="2:16" ht="15.75" thickBot="1" x14ac:dyDescent="0.3">
      <c r="B8" s="70">
        <v>1.546</v>
      </c>
      <c r="C8" s="9">
        <f t="shared" si="0"/>
        <v>9.3066666666666684</v>
      </c>
      <c r="D8" s="74">
        <v>0.5</v>
      </c>
      <c r="E8" s="70">
        <v>1.494</v>
      </c>
      <c r="F8" s="9">
        <f t="shared" si="1"/>
        <v>8.9600000000000009</v>
      </c>
      <c r="G8" s="58">
        <v>0.5</v>
      </c>
      <c r="H8" s="70">
        <v>1.4359999999999999</v>
      </c>
      <c r="I8" s="9">
        <f t="shared" si="2"/>
        <v>8.5733333333333341</v>
      </c>
      <c r="J8" s="58">
        <v>0.5</v>
      </c>
      <c r="K8" s="5">
        <f>J8/'0%'!$R$4</f>
        <v>1.9130689628549604E-2</v>
      </c>
      <c r="M8" s="4">
        <f>AVERAGE(H8,E8,B8)</f>
        <v>1.492</v>
      </c>
      <c r="N8" s="32">
        <f t="shared" si="3"/>
        <v>0.1492</v>
      </c>
      <c r="O8">
        <f t="shared" si="5"/>
        <v>1.7401149387324979E-2</v>
      </c>
      <c r="P8" s="5">
        <f t="shared" si="4"/>
        <v>11.66296875826071</v>
      </c>
    </row>
    <row r="9" spans="2:16" ht="15.75" thickBot="1" x14ac:dyDescent="0.3">
      <c r="B9" s="70">
        <v>2.1110000000000002</v>
      </c>
      <c r="C9" s="9">
        <f t="shared" si="0"/>
        <v>13.073333333333336</v>
      </c>
      <c r="D9" s="74">
        <v>0.66666666666666596</v>
      </c>
      <c r="E9" s="70">
        <v>2.0110000000000001</v>
      </c>
      <c r="F9" s="9">
        <f t="shared" si="1"/>
        <v>12.406666666666668</v>
      </c>
      <c r="G9" s="58">
        <v>0.66666666666666596</v>
      </c>
      <c r="H9" s="70">
        <v>1.889</v>
      </c>
      <c r="I9" s="9">
        <f t="shared" si="2"/>
        <v>11.593333333333334</v>
      </c>
      <c r="J9" s="58">
        <v>0.66666666666666596</v>
      </c>
      <c r="K9" s="5">
        <f>J9/'0%'!$R$4</f>
        <v>2.5507586171399445E-2</v>
      </c>
      <c r="M9" s="4">
        <f>AVERAGE(H9,E9,B9)</f>
        <v>2.0036666666666672</v>
      </c>
      <c r="N9" s="32">
        <f t="shared" si="3"/>
        <v>0.20036666666666672</v>
      </c>
      <c r="O9">
        <f t="shared" si="5"/>
        <v>3.5158687878436755E-2</v>
      </c>
      <c r="P9" s="5">
        <f t="shared" si="4"/>
        <v>17.547174119998374</v>
      </c>
    </row>
    <row r="10" spans="2:16" ht="15.75" thickBot="1" x14ac:dyDescent="0.3">
      <c r="B10" s="70">
        <v>2.5230000000000001</v>
      </c>
      <c r="C10" s="9">
        <f t="shared" si="0"/>
        <v>15.820000000000002</v>
      </c>
      <c r="D10" s="74">
        <v>0.83333333333333304</v>
      </c>
      <c r="E10" s="70">
        <v>2.4009999999999998</v>
      </c>
      <c r="F10" s="9">
        <f t="shared" si="1"/>
        <v>15.006666666666666</v>
      </c>
      <c r="G10" s="58">
        <v>0.83333333333333304</v>
      </c>
      <c r="H10" s="70">
        <v>2.2770000000000001</v>
      </c>
      <c r="I10" s="9">
        <f t="shared" si="2"/>
        <v>14.180000000000001</v>
      </c>
      <c r="J10" s="58">
        <v>0.83333333333333304</v>
      </c>
      <c r="K10" s="5">
        <f>J10/'0%'!$R$4</f>
        <v>3.1884482714249325E-2</v>
      </c>
      <c r="M10" s="4">
        <f>AVERAGE(H10,E10,B10)</f>
        <v>2.4003333333333337</v>
      </c>
      <c r="N10" s="32">
        <f t="shared" si="3"/>
        <v>0.24003333333333338</v>
      </c>
      <c r="O10">
        <f t="shared" si="5"/>
        <v>3.8896443710618747E-2</v>
      </c>
      <c r="P10" s="5">
        <f t="shared" si="4"/>
        <v>16.204600907076273</v>
      </c>
    </row>
    <row r="11" spans="2:16" ht="15.75" thickBot="1" x14ac:dyDescent="0.3">
      <c r="B11" s="71">
        <v>2.9159999999999999</v>
      </c>
      <c r="C11" s="9">
        <f t="shared" si="0"/>
        <v>18.440000000000001</v>
      </c>
      <c r="D11" s="74">
        <v>1</v>
      </c>
      <c r="E11" s="70">
        <v>2.762</v>
      </c>
      <c r="F11" s="9">
        <f t="shared" si="1"/>
        <v>17.413333333333334</v>
      </c>
      <c r="G11" s="58">
        <v>1</v>
      </c>
      <c r="H11" s="70">
        <v>2.6059999999999999</v>
      </c>
      <c r="I11" s="9">
        <f t="shared" si="2"/>
        <v>16.373333333333335</v>
      </c>
      <c r="J11" s="58">
        <v>1</v>
      </c>
      <c r="K11" s="5">
        <f>J11/'0%'!$R$4</f>
        <v>3.8261379257099208E-2</v>
      </c>
      <c r="M11" s="4">
        <f>AVERAGE(H11,E11,B11)</f>
        <v>2.7613333333333334</v>
      </c>
      <c r="N11" s="32">
        <f t="shared" si="3"/>
        <v>0.27613333333333334</v>
      </c>
      <c r="O11">
        <f t="shared" si="5"/>
        <v>4.90156437612864E-2</v>
      </c>
      <c r="P11" s="5">
        <f t="shared" si="4"/>
        <v>17.750715992740126</v>
      </c>
    </row>
    <row r="12" spans="2:16" ht="15.75" thickBot="1" x14ac:dyDescent="0.3">
      <c r="B12" s="70">
        <v>4.0579999999999998</v>
      </c>
      <c r="C12" s="9">
        <f t="shared" si="0"/>
        <v>26.053333333333335</v>
      </c>
      <c r="D12" s="74">
        <v>1.5</v>
      </c>
      <c r="E12" s="70">
        <v>3.9220000000000002</v>
      </c>
      <c r="F12" s="9">
        <f t="shared" si="1"/>
        <v>25.146666666666668</v>
      </c>
      <c r="G12" s="58">
        <v>1.5</v>
      </c>
      <c r="H12" s="70">
        <v>3.7930000000000001</v>
      </c>
      <c r="I12" s="9">
        <f t="shared" si="2"/>
        <v>24.286666666666669</v>
      </c>
      <c r="J12" s="58">
        <v>1.5</v>
      </c>
      <c r="K12" s="5">
        <f>J12/'0%'!$R$4</f>
        <v>5.7392068885648809E-2</v>
      </c>
      <c r="M12" s="4">
        <f>AVERAGE(H12,E12,B12)</f>
        <v>3.9243333333333332</v>
      </c>
      <c r="N12" s="32">
        <f t="shared" si="3"/>
        <v>0.3924333333333333</v>
      </c>
      <c r="O12">
        <f t="shared" si="5"/>
        <v>4.1905051405926333E-2</v>
      </c>
      <c r="P12" s="5">
        <f t="shared" si="4"/>
        <v>10.678259935256859</v>
      </c>
    </row>
    <row r="13" spans="2:16" ht="15.75" thickBot="1" x14ac:dyDescent="0.3">
      <c r="B13" s="71">
        <v>5.5419999999999998</v>
      </c>
      <c r="C13" s="9">
        <f t="shared" si="0"/>
        <v>35.946666666666665</v>
      </c>
      <c r="D13" s="74">
        <v>2</v>
      </c>
      <c r="E13" s="70">
        <v>5.423</v>
      </c>
      <c r="F13" s="9">
        <f t="shared" si="1"/>
        <v>35.153333333333336</v>
      </c>
      <c r="G13" s="58">
        <v>2</v>
      </c>
      <c r="H13" s="70">
        <v>5.2910000000000004</v>
      </c>
      <c r="I13" s="9">
        <f t="shared" si="2"/>
        <v>34.273333333333333</v>
      </c>
      <c r="J13" s="58">
        <v>2</v>
      </c>
      <c r="K13" s="5">
        <f>J13/'0%'!$R$4</f>
        <v>7.6522758514198416E-2</v>
      </c>
      <c r="M13" s="4">
        <f>AVERAGE(H13,E13,B13)</f>
        <v>5.4186666666666667</v>
      </c>
      <c r="N13" s="32">
        <f t="shared" si="3"/>
        <v>0.54186666666666672</v>
      </c>
      <c r="O13">
        <f t="shared" si="5"/>
        <v>3.9704323861933809E-2</v>
      </c>
      <c r="P13" s="5">
        <f t="shared" si="4"/>
        <v>7.3273235473549105</v>
      </c>
    </row>
    <row r="14" spans="2:16" ht="15.75" thickBot="1" x14ac:dyDescent="0.3">
      <c r="B14" s="71">
        <v>7.3810000000000002</v>
      </c>
      <c r="C14" s="9">
        <f t="shared" si="0"/>
        <v>48.206666666666671</v>
      </c>
      <c r="D14" s="74">
        <v>3</v>
      </c>
      <c r="E14" s="70">
        <v>7.0650000000000004</v>
      </c>
      <c r="F14" s="9">
        <f t="shared" si="1"/>
        <v>46.1</v>
      </c>
      <c r="G14" s="58">
        <v>3</v>
      </c>
      <c r="H14" s="70">
        <v>6.7460000000000004</v>
      </c>
      <c r="I14" s="9">
        <f t="shared" si="2"/>
        <v>43.973333333333336</v>
      </c>
      <c r="J14" s="58">
        <v>3</v>
      </c>
      <c r="K14" s="5">
        <f>J14/'0%'!$R$4</f>
        <v>0.11478413777129762</v>
      </c>
      <c r="M14" s="4">
        <f>AVERAGE(H14,E14,B14)</f>
        <v>7.0640000000000001</v>
      </c>
      <c r="N14" s="32">
        <f t="shared" si="3"/>
        <v>0.70640000000000003</v>
      </c>
      <c r="O14">
        <f t="shared" si="5"/>
        <v>0.10040268920701273</v>
      </c>
      <c r="P14" s="5">
        <f t="shared" si="4"/>
        <v>14.213291224095801</v>
      </c>
    </row>
    <row r="15" spans="2:16" ht="15.75" thickBot="1" x14ac:dyDescent="0.3">
      <c r="B15" s="70">
        <v>9.52</v>
      </c>
      <c r="C15" s="9">
        <f t="shared" si="0"/>
        <v>62.466666666666661</v>
      </c>
      <c r="D15" s="74">
        <v>3.5</v>
      </c>
      <c r="E15" s="70">
        <v>9.1720000000000006</v>
      </c>
      <c r="F15" s="9">
        <f t="shared" si="1"/>
        <v>60.146666666666668</v>
      </c>
      <c r="G15" s="58">
        <v>3.5</v>
      </c>
      <c r="H15" s="70">
        <v>8.8130000000000006</v>
      </c>
      <c r="I15" s="9">
        <f t="shared" si="2"/>
        <v>57.753333333333337</v>
      </c>
      <c r="J15" s="58">
        <v>3.5</v>
      </c>
      <c r="K15" s="5">
        <f>J15/'0%'!$R$4</f>
        <v>0.13391482739984722</v>
      </c>
      <c r="M15" s="4">
        <f>AVERAGE(H15,E15,B15)</f>
        <v>9.168333333333333</v>
      </c>
      <c r="N15" s="32">
        <f t="shared" si="3"/>
        <v>0.91683333333333328</v>
      </c>
      <c r="O15">
        <f t="shared" si="5"/>
        <v>0.1117910252808037</v>
      </c>
      <c r="P15" s="5">
        <f t="shared" si="4"/>
        <v>12.193167636517401</v>
      </c>
    </row>
    <row r="16" spans="2:16" ht="15.75" thickBot="1" x14ac:dyDescent="0.3">
      <c r="B16" s="70">
        <v>11.621</v>
      </c>
      <c r="C16" s="9">
        <f t="shared" si="0"/>
        <v>76.473333333333343</v>
      </c>
      <c r="D16" s="74">
        <v>4.5</v>
      </c>
      <c r="E16" s="70">
        <v>11.172000000000001</v>
      </c>
      <c r="F16" s="9">
        <f t="shared" si="1"/>
        <v>73.48</v>
      </c>
      <c r="G16" s="58">
        <v>4.5</v>
      </c>
      <c r="H16" s="70">
        <v>10.714</v>
      </c>
      <c r="I16" s="9">
        <f t="shared" si="2"/>
        <v>70.426666666666677</v>
      </c>
      <c r="J16" s="58">
        <v>4.5</v>
      </c>
      <c r="K16" s="5">
        <f>J16/'0%'!$R$4</f>
        <v>0.17217620665694644</v>
      </c>
      <c r="M16" s="4">
        <f>AVERAGE(H16,E16,B16)</f>
        <v>11.169000000000002</v>
      </c>
      <c r="N16" s="32">
        <f t="shared" si="3"/>
        <v>1.1169000000000002</v>
      </c>
      <c r="O16">
        <f t="shared" si="5"/>
        <v>0.14341164527331801</v>
      </c>
      <c r="P16" s="5">
        <f t="shared" si="4"/>
        <v>12.840150888469692</v>
      </c>
    </row>
    <row r="17" spans="2:16" ht="15.75" thickBot="1" x14ac:dyDescent="0.3">
      <c r="B17" s="70">
        <v>13.170999999999999</v>
      </c>
      <c r="C17" s="9">
        <f t="shared" si="0"/>
        <v>86.806666666666658</v>
      </c>
      <c r="D17" s="66">
        <v>5.5</v>
      </c>
      <c r="E17" s="4">
        <v>12.823</v>
      </c>
      <c r="F17" s="9">
        <f t="shared" si="1"/>
        <v>84.486666666666665</v>
      </c>
      <c r="G17" s="5">
        <v>5.5</v>
      </c>
      <c r="H17" s="4">
        <v>12.426</v>
      </c>
      <c r="I17" s="9">
        <f t="shared" si="2"/>
        <v>81.84</v>
      </c>
      <c r="J17" s="5">
        <v>5.5</v>
      </c>
      <c r="K17" s="5">
        <f>J17/'0%'!$R$4</f>
        <v>0.21043758591404563</v>
      </c>
      <c r="M17" s="4">
        <f>AVERAGE(H17,E17,B17)</f>
        <v>12.806666666666667</v>
      </c>
      <c r="N17" s="32">
        <f t="shared" si="3"/>
        <v>1.2806666666666666</v>
      </c>
      <c r="O17">
        <f t="shared" si="5"/>
        <v>0.1178797409792425</v>
      </c>
      <c r="P17" s="5">
        <f t="shared" si="4"/>
        <v>9.2045607219606325</v>
      </c>
    </row>
    <row r="18" spans="2:16" ht="15.75" thickBot="1" x14ac:dyDescent="0.3">
      <c r="B18" s="70">
        <v>14.891999999999999</v>
      </c>
      <c r="C18" s="9">
        <f t="shared" si="0"/>
        <v>98.28</v>
      </c>
      <c r="D18" s="66">
        <v>6.6666666666666599</v>
      </c>
      <c r="E18" s="4">
        <v>14.353999999999999</v>
      </c>
      <c r="F18" s="9">
        <f t="shared" si="1"/>
        <v>94.693333333333328</v>
      </c>
      <c r="G18" s="5">
        <v>6.6666666666666599</v>
      </c>
      <c r="H18" s="4">
        <v>13.818</v>
      </c>
      <c r="I18" s="9">
        <f t="shared" si="2"/>
        <v>91.12</v>
      </c>
      <c r="J18" s="5">
        <v>6.6666666666666599</v>
      </c>
      <c r="K18" s="5">
        <f>J18/'0%'!$R$4</f>
        <v>0.25507586171399443</v>
      </c>
      <c r="M18" s="4">
        <f>AVERAGE(H18,E18,B18)</f>
        <v>14.354666666666665</v>
      </c>
      <c r="N18" s="32">
        <f t="shared" si="3"/>
        <v>1.4354666666666664</v>
      </c>
      <c r="O18">
        <f t="shared" si="5"/>
        <v>0.16981440849743382</v>
      </c>
      <c r="P18" s="5">
        <f t="shared" si="4"/>
        <v>11.829909564654965</v>
      </c>
    </row>
    <row r="19" spans="2:16" ht="15.75" thickBot="1" x14ac:dyDescent="0.3">
      <c r="B19" s="70">
        <v>16.771999999999998</v>
      </c>
      <c r="C19" s="9">
        <f t="shared" si="0"/>
        <v>110.81333333333333</v>
      </c>
      <c r="D19" s="75">
        <v>8.1666666666666607</v>
      </c>
      <c r="E19" s="78">
        <v>16.122</v>
      </c>
      <c r="F19" s="9">
        <f t="shared" si="1"/>
        <v>106.48</v>
      </c>
      <c r="G19" s="77">
        <v>8.1666666666666607</v>
      </c>
      <c r="H19" s="4">
        <v>15.465</v>
      </c>
      <c r="I19" s="9">
        <f t="shared" si="2"/>
        <v>102.1</v>
      </c>
      <c r="J19" s="77">
        <v>8.1666666666666607</v>
      </c>
      <c r="K19" s="5">
        <f>J19/'0%'!$R$4</f>
        <v>0.31246793059964328</v>
      </c>
      <c r="M19" s="4">
        <f>AVERAGE(H19,E19,B19)</f>
        <v>16.119666666666664</v>
      </c>
      <c r="N19" s="32">
        <f t="shared" si="3"/>
        <v>1.6119666666666663</v>
      </c>
      <c r="O19">
        <f t="shared" si="5"/>
        <v>0.20665583304938004</v>
      </c>
      <c r="P19" s="5">
        <f t="shared" si="4"/>
        <v>12.820105857195976</v>
      </c>
    </row>
    <row r="20" spans="2:16" ht="15.75" thickBot="1" x14ac:dyDescent="0.3">
      <c r="B20" s="70">
        <v>18.786000000000001</v>
      </c>
      <c r="C20" s="9">
        <f t="shared" si="0"/>
        <v>124.24000000000002</v>
      </c>
      <c r="D20" s="75">
        <v>10.6666666666666</v>
      </c>
      <c r="E20" s="78">
        <v>18.023</v>
      </c>
      <c r="F20" s="9">
        <f t="shared" si="1"/>
        <v>119.15333333333335</v>
      </c>
      <c r="G20" s="77">
        <v>10.6666666666666</v>
      </c>
      <c r="H20" s="4">
        <v>17.213000000000001</v>
      </c>
      <c r="I20" s="9">
        <f t="shared" si="2"/>
        <v>113.75333333333336</v>
      </c>
      <c r="J20" s="77">
        <v>10.6666666666666</v>
      </c>
      <c r="K20" s="5">
        <f>J20/'0%'!$R$4</f>
        <v>0.40812137874238902</v>
      </c>
      <c r="M20" s="4">
        <f>AVERAGE(H20,E20,B20)</f>
        <v>18.007333333333335</v>
      </c>
      <c r="N20" s="32">
        <f t="shared" si="3"/>
        <v>1.8007333333333335</v>
      </c>
      <c r="O20">
        <f t="shared" si="5"/>
        <v>0.24875014237851875</v>
      </c>
      <c r="P20" s="5">
        <f t="shared" si="4"/>
        <v>13.813824499936251</v>
      </c>
    </row>
    <row r="21" spans="2:16" ht="15.75" thickBot="1" x14ac:dyDescent="0.3">
      <c r="B21" s="70">
        <v>19.503</v>
      </c>
      <c r="C21" s="9">
        <f t="shared" si="0"/>
        <v>129.02000000000001</v>
      </c>
      <c r="D21" s="75">
        <v>12.6666666666666</v>
      </c>
      <c r="E21" s="78">
        <v>18.523</v>
      </c>
      <c r="F21" s="9">
        <f t="shared" si="1"/>
        <v>122.48666666666668</v>
      </c>
      <c r="G21" s="77">
        <v>12.6666666666666</v>
      </c>
      <c r="H21" s="4">
        <v>17.497</v>
      </c>
      <c r="I21" s="9">
        <f t="shared" si="2"/>
        <v>115.64666666666668</v>
      </c>
      <c r="J21" s="77">
        <v>12.6666666666666</v>
      </c>
      <c r="K21" s="5">
        <f>J21/'0%'!$R$4</f>
        <v>0.48464413725658739</v>
      </c>
      <c r="M21" s="4">
        <f>AVERAGE(H21,E21,B21)</f>
        <v>18.507666666666665</v>
      </c>
      <c r="N21" s="32">
        <f t="shared" si="3"/>
        <v>1.8507666666666664</v>
      </c>
      <c r="O21">
        <f t="shared" si="5"/>
        <v>0.31720424545288384</v>
      </c>
      <c r="P21" s="5">
        <f t="shared" si="4"/>
        <v>17.139072751087866</v>
      </c>
    </row>
    <row r="22" spans="2:16" ht="15.75" thickBot="1" x14ac:dyDescent="0.3">
      <c r="B22" s="70">
        <v>19.788</v>
      </c>
      <c r="C22" s="9">
        <f t="shared" si="0"/>
        <v>130.92000000000002</v>
      </c>
      <c r="D22" s="75">
        <v>13.5833333333333</v>
      </c>
      <c r="E22" s="78">
        <v>18.751000000000001</v>
      </c>
      <c r="F22" s="9">
        <f t="shared" si="1"/>
        <v>124.00666666666669</v>
      </c>
      <c r="G22" s="77">
        <v>13.5833333333333</v>
      </c>
      <c r="H22" s="78">
        <v>17.712</v>
      </c>
      <c r="I22" s="9">
        <f t="shared" si="2"/>
        <v>117.08000000000001</v>
      </c>
      <c r="J22" s="77">
        <v>13.5833333333333</v>
      </c>
      <c r="K22" s="5">
        <f>J22/'0%'!$R$4</f>
        <v>0.51971706824226294</v>
      </c>
      <c r="M22" s="4">
        <f>AVERAGE(H22,E22,B22)</f>
        <v>18.750333333333334</v>
      </c>
      <c r="N22" s="32">
        <f t="shared" si="3"/>
        <v>1.8750333333333333</v>
      </c>
      <c r="O22">
        <f t="shared" si="5"/>
        <v>0.32824447190064504</v>
      </c>
      <c r="P22" s="5">
        <f t="shared" si="4"/>
        <v>17.506060615845676</v>
      </c>
    </row>
    <row r="23" spans="2:16" ht="15.75" thickBot="1" x14ac:dyDescent="0.3">
      <c r="B23" s="70">
        <v>20.434999999999999</v>
      </c>
      <c r="C23" s="9">
        <f t="shared" si="0"/>
        <v>135.23333333333335</v>
      </c>
      <c r="D23" s="75">
        <v>21.6666666666666</v>
      </c>
      <c r="E23" s="78">
        <v>19.411000000000001</v>
      </c>
      <c r="F23" s="9">
        <f t="shared" si="1"/>
        <v>128.40666666666669</v>
      </c>
      <c r="G23" s="77">
        <v>21.6666666666666</v>
      </c>
      <c r="H23" s="78">
        <v>18.364999999999998</v>
      </c>
      <c r="I23" s="9">
        <f t="shared" si="2"/>
        <v>121.43333333333334</v>
      </c>
      <c r="J23" s="77">
        <v>21.6666666666666</v>
      </c>
      <c r="K23" s="5">
        <f>J23/'0%'!$R$4</f>
        <v>0.82899655057048027</v>
      </c>
      <c r="M23" s="4">
        <f>AVERAGE(H23,E23,B23)</f>
        <v>19.403666666666666</v>
      </c>
      <c r="N23" s="32">
        <f t="shared" si="3"/>
        <v>1.9403666666666666</v>
      </c>
      <c r="O23">
        <f t="shared" si="5"/>
        <v>0.32730189937324433</v>
      </c>
      <c r="P23" s="5">
        <f t="shared" si="4"/>
        <v>16.868043808210356</v>
      </c>
    </row>
    <row r="24" spans="2:16" ht="15.75" thickBot="1" x14ac:dyDescent="0.3">
      <c r="B24" s="70">
        <v>20.436</v>
      </c>
      <c r="C24" s="9">
        <f t="shared" si="0"/>
        <v>135.24</v>
      </c>
      <c r="D24" s="75">
        <v>23.6666666666666</v>
      </c>
      <c r="E24" s="78">
        <v>19.411000000000001</v>
      </c>
      <c r="F24" s="9">
        <f t="shared" si="1"/>
        <v>128.40666666666669</v>
      </c>
      <c r="G24" s="77">
        <v>23.6666666666666</v>
      </c>
      <c r="H24" s="78">
        <v>18.364000000000001</v>
      </c>
      <c r="I24" s="9">
        <f t="shared" si="2"/>
        <v>121.42666666666669</v>
      </c>
      <c r="J24" s="77">
        <v>23.6666666666666</v>
      </c>
      <c r="K24" s="5">
        <f>J24/'0%'!$R$4</f>
        <v>0.9055193090846787</v>
      </c>
      <c r="M24" s="4">
        <f>AVERAGE(H24,E24,B24)</f>
        <v>19.40366666666667</v>
      </c>
      <c r="N24" s="32">
        <f t="shared" si="3"/>
        <v>1.940366666666667</v>
      </c>
      <c r="O24">
        <f t="shared" si="5"/>
        <v>0.32761812119193473</v>
      </c>
      <c r="P24" s="5">
        <f t="shared" si="4"/>
        <v>16.884340821765715</v>
      </c>
    </row>
    <row r="25" spans="2:16" ht="15.75" thickBot="1" x14ac:dyDescent="0.3">
      <c r="B25" s="72">
        <v>20.436</v>
      </c>
      <c r="C25" s="73">
        <f t="shared" si="0"/>
        <v>135.24</v>
      </c>
      <c r="D25" s="76">
        <v>29.666666670000001</v>
      </c>
      <c r="E25" s="79">
        <v>19.411000000000001</v>
      </c>
      <c r="F25" s="73">
        <f t="shared" si="1"/>
        <v>128.40666666666669</v>
      </c>
      <c r="G25" s="80">
        <v>29.666666670000001</v>
      </c>
      <c r="H25" s="79">
        <v>18.364000000000001</v>
      </c>
      <c r="I25" s="73">
        <f t="shared" si="2"/>
        <v>121.42666666666669</v>
      </c>
      <c r="J25" s="80">
        <v>29.666666670000001</v>
      </c>
      <c r="K25" s="12">
        <f>J25/'0%'!$R$4</f>
        <v>1.1350875847548145</v>
      </c>
      <c r="M25" s="10">
        <f>AVERAGE(H25,E25,B25)</f>
        <v>19.40366666666667</v>
      </c>
      <c r="N25" s="27">
        <f t="shared" si="3"/>
        <v>1.940366666666667</v>
      </c>
      <c r="O25" s="11">
        <f t="shared" si="5"/>
        <v>0.32761812119193473</v>
      </c>
      <c r="P25" s="12">
        <f t="shared" si="4"/>
        <v>16.884340821765715</v>
      </c>
    </row>
  </sheetData>
  <mergeCells count="1">
    <mergeCell ref="M3:P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U29"/>
  <sheetViews>
    <sheetView topLeftCell="A9" workbookViewId="0">
      <selection activeCell="K3" sqref="K3:K25"/>
    </sheetView>
  </sheetViews>
  <sheetFormatPr baseColWidth="10" defaultRowHeight="15" x14ac:dyDescent="0.25"/>
  <cols>
    <col min="2" max="2" width="16.7109375" customWidth="1"/>
    <col min="4" max="4" width="11.42578125" customWidth="1"/>
  </cols>
  <sheetData>
    <row r="1" spans="2:21" ht="15.75" thickBot="1" x14ac:dyDescent="0.3">
      <c r="M1" s="42" t="s">
        <v>21</v>
      </c>
      <c r="N1" s="42"/>
      <c r="O1" s="42"/>
      <c r="P1" s="42"/>
      <c r="R1" s="42" t="s">
        <v>22</v>
      </c>
      <c r="S1" s="42"/>
      <c r="T1" s="42"/>
      <c r="U1" s="42"/>
    </row>
    <row r="2" spans="2:21" ht="15.75" thickBot="1" x14ac:dyDescent="0.3">
      <c r="B2" s="82" t="s">
        <v>20</v>
      </c>
      <c r="C2" s="83"/>
      <c r="D2" s="84"/>
      <c r="M2" s="47" t="s">
        <v>6</v>
      </c>
      <c r="N2" s="48"/>
      <c r="O2" s="48"/>
      <c r="P2" s="49"/>
      <c r="R2" s="47" t="s">
        <v>6</v>
      </c>
      <c r="S2" s="48"/>
      <c r="T2" s="48"/>
      <c r="U2" s="49"/>
    </row>
    <row r="3" spans="2:21" ht="16.5" thickTop="1" thickBot="1" x14ac:dyDescent="0.3">
      <c r="B3" s="85" t="s">
        <v>1</v>
      </c>
      <c r="C3" s="28" t="s">
        <v>10</v>
      </c>
      <c r="D3" s="86" t="s">
        <v>2</v>
      </c>
      <c r="E3" s="51" t="s">
        <v>1</v>
      </c>
      <c r="F3" s="53" t="s">
        <v>10</v>
      </c>
      <c r="G3" s="54" t="s">
        <v>2</v>
      </c>
      <c r="H3" s="51" t="s">
        <v>1</v>
      </c>
      <c r="I3" s="53" t="s">
        <v>10</v>
      </c>
      <c r="J3" s="53" t="s">
        <v>2</v>
      </c>
      <c r="K3" s="25" t="s">
        <v>11</v>
      </c>
      <c r="M3" s="87" t="s">
        <v>17</v>
      </c>
      <c r="N3" s="88" t="s">
        <v>18</v>
      </c>
      <c r="O3" s="88" t="s">
        <v>3</v>
      </c>
      <c r="P3" s="69" t="s">
        <v>0</v>
      </c>
      <c r="R3" s="87" t="s">
        <v>17</v>
      </c>
      <c r="S3" s="88" t="s">
        <v>18</v>
      </c>
      <c r="T3" s="88" t="s">
        <v>3</v>
      </c>
      <c r="U3" s="69" t="s">
        <v>0</v>
      </c>
    </row>
    <row r="4" spans="2:21" ht="16.5" thickTop="1" thickBot="1" x14ac:dyDescent="0.3">
      <c r="B4" s="70">
        <v>0.15</v>
      </c>
      <c r="C4" s="9">
        <f>(B4-$B$4)/$B$4</f>
        <v>0</v>
      </c>
      <c r="D4" s="58">
        <v>0</v>
      </c>
      <c r="E4" s="70">
        <v>0.15</v>
      </c>
      <c r="F4" s="9">
        <f>(E4-$B$4)/$B$4</f>
        <v>0</v>
      </c>
      <c r="G4" s="58">
        <v>0</v>
      </c>
      <c r="H4" s="70">
        <v>0.15</v>
      </c>
      <c r="I4" s="9">
        <f>(H4-$B$4)/$B$4</f>
        <v>0</v>
      </c>
      <c r="J4" s="6">
        <v>0</v>
      </c>
      <c r="K4" s="5">
        <f>J4/'0%'!$R$5</f>
        <v>0</v>
      </c>
      <c r="M4" s="1">
        <f>AVERAGE(B4,E4,H4)</f>
        <v>0.15</v>
      </c>
      <c r="N4" s="2">
        <f>M4/10</f>
        <v>1.4999999999999999E-2</v>
      </c>
      <c r="O4" s="2">
        <f>_xlfn.STDEV.S(B4,E4,H4)/SQRT(10)</f>
        <v>0</v>
      </c>
      <c r="P4" s="3">
        <f>O4/M4*100*10</f>
        <v>0</v>
      </c>
      <c r="R4" s="1">
        <f>AVERAGE(H4,E4)</f>
        <v>0.15</v>
      </c>
      <c r="S4" s="2">
        <f>R4/10</f>
        <v>1.4999999999999999E-2</v>
      </c>
      <c r="T4" s="2">
        <f>_xlfn.STDEV.S(E4,H4)/SQRT(10)</f>
        <v>0</v>
      </c>
      <c r="U4" s="3">
        <f>T4/R4*100*10</f>
        <v>0</v>
      </c>
    </row>
    <row r="5" spans="2:21" ht="15.75" thickBot="1" x14ac:dyDescent="0.3">
      <c r="B5" s="70">
        <v>0.92700000000000005</v>
      </c>
      <c r="C5" s="9">
        <f t="shared" ref="C5:C25" si="0">(B5-$B$4)/$B$4</f>
        <v>5.1800000000000006</v>
      </c>
      <c r="D5" s="58">
        <v>0.5</v>
      </c>
      <c r="E5" s="70">
        <v>1.056</v>
      </c>
      <c r="F5" s="9">
        <f t="shared" ref="F5:F25" si="1">(E5-$B$4)/$B$4</f>
        <v>6.04</v>
      </c>
      <c r="G5" s="58">
        <v>0.5</v>
      </c>
      <c r="H5" s="70">
        <v>1.0569999999999999</v>
      </c>
      <c r="I5" s="9">
        <f t="shared" ref="I5:I25" si="2">(H5-$B$4)/$B$4</f>
        <v>6.046666666666666</v>
      </c>
      <c r="J5" s="6">
        <v>0.5</v>
      </c>
      <c r="K5" s="5">
        <f>J5/'0%'!$R$5</f>
        <v>9.0245839874411298E-3</v>
      </c>
      <c r="M5" s="4">
        <f t="shared" ref="M5:M25" si="3">AVERAGE(B5,E5,H5)</f>
        <v>1.0133333333333334</v>
      </c>
      <c r="N5" s="66">
        <f t="shared" ref="N5:N25" si="4">M5/10</f>
        <v>0.10133333333333334</v>
      </c>
      <c r="O5" s="66">
        <f t="shared" ref="O5:O25" si="5">_xlfn.STDEV.S(B5,E5,H5)/SQRT(10)</f>
        <v>2.3643885749456091E-2</v>
      </c>
      <c r="P5" s="5">
        <f t="shared" ref="P5:P25" si="6">O5/M5*100*10</f>
        <v>23.332781989594821</v>
      </c>
      <c r="R5" s="4">
        <f>AVERAGE(H5,E5)</f>
        <v>1.0565</v>
      </c>
      <c r="S5" s="66">
        <f t="shared" ref="S5:S25" si="7">R5/10</f>
        <v>0.10564999999999999</v>
      </c>
      <c r="T5" s="66">
        <f>_xlfn.STDEV.S(E5,H5)/SQRT(10)</f>
        <v>2.2360679774995434E-4</v>
      </c>
      <c r="U5" s="5">
        <f t="shared" ref="U5:U25" si="8">T5/R5*100*10</f>
        <v>0.21164864907709829</v>
      </c>
    </row>
    <row r="6" spans="2:21" ht="15.75" thickBot="1" x14ac:dyDescent="0.3">
      <c r="B6" s="70">
        <v>1.5840000000000001</v>
      </c>
      <c r="C6" s="9">
        <f t="shared" si="0"/>
        <v>9.5600000000000023</v>
      </c>
      <c r="D6" s="58">
        <v>1</v>
      </c>
      <c r="E6" s="70">
        <v>1.8049999999999999</v>
      </c>
      <c r="F6" s="9">
        <f t="shared" si="1"/>
        <v>11.033333333333333</v>
      </c>
      <c r="G6" s="58">
        <v>1</v>
      </c>
      <c r="H6" s="70">
        <v>1.8049999999999999</v>
      </c>
      <c r="I6" s="9">
        <f t="shared" si="2"/>
        <v>11.033333333333333</v>
      </c>
      <c r="J6" s="6">
        <v>1</v>
      </c>
      <c r="K6" s="5">
        <f>J6/'0%'!$R$5</f>
        <v>1.804916797488226E-2</v>
      </c>
      <c r="M6" s="4">
        <f t="shared" si="3"/>
        <v>1.7313333333333334</v>
      </c>
      <c r="N6" s="66">
        <f t="shared" si="4"/>
        <v>0.17313333333333333</v>
      </c>
      <c r="O6" s="66">
        <f t="shared" si="5"/>
        <v>4.0348895069547211E-2</v>
      </c>
      <c r="P6" s="5">
        <f t="shared" si="6"/>
        <v>23.305099193038433</v>
      </c>
      <c r="R6" s="4">
        <f>AVERAGE(H6,E6)</f>
        <v>1.8049999999999999</v>
      </c>
      <c r="S6" s="66">
        <f t="shared" si="7"/>
        <v>0.18049999999999999</v>
      </c>
      <c r="T6" s="66">
        <f>_xlfn.STDEV.S(E6,H6)/SQRT(10)</f>
        <v>0</v>
      </c>
      <c r="U6" s="5">
        <f t="shared" si="8"/>
        <v>0</v>
      </c>
    </row>
    <row r="7" spans="2:21" ht="15.75" thickBot="1" x14ac:dyDescent="0.3">
      <c r="B7" s="70">
        <v>2.2410000000000001</v>
      </c>
      <c r="C7" s="9">
        <f t="shared" si="0"/>
        <v>13.940000000000001</v>
      </c>
      <c r="D7" s="58">
        <v>1.5</v>
      </c>
      <c r="E7" s="70">
        <v>2.5529999999999999</v>
      </c>
      <c r="F7" s="9">
        <f t="shared" si="1"/>
        <v>16.02</v>
      </c>
      <c r="G7" s="58">
        <v>1.5</v>
      </c>
      <c r="H7" s="70">
        <v>2.5529999999999999</v>
      </c>
      <c r="I7" s="9">
        <f t="shared" si="2"/>
        <v>16.02</v>
      </c>
      <c r="J7" s="6">
        <v>1.5</v>
      </c>
      <c r="K7" s="5">
        <f>J7/'0%'!$R$5</f>
        <v>2.7073751962323391E-2</v>
      </c>
      <c r="M7" s="4">
        <f t="shared" si="3"/>
        <v>2.4490000000000003</v>
      </c>
      <c r="N7" s="66">
        <f t="shared" si="4"/>
        <v>0.24490000000000003</v>
      </c>
      <c r="O7" s="66">
        <f t="shared" si="5"/>
        <v>5.6963145980537241E-2</v>
      </c>
      <c r="P7" s="5">
        <f t="shared" si="6"/>
        <v>23.259757444074005</v>
      </c>
      <c r="R7" s="4">
        <f>AVERAGE(H7,E7)</f>
        <v>2.5529999999999999</v>
      </c>
      <c r="S7" s="66">
        <f t="shared" si="7"/>
        <v>0.25529999999999997</v>
      </c>
      <c r="T7" s="66">
        <f>_xlfn.STDEV.S(E7,H7)/SQRT(10)</f>
        <v>0</v>
      </c>
      <c r="U7" s="5">
        <f t="shared" si="8"/>
        <v>0</v>
      </c>
    </row>
    <row r="8" spans="2:21" ht="15.75" thickBot="1" x14ac:dyDescent="0.3">
      <c r="B8" s="70">
        <v>2.835</v>
      </c>
      <c r="C8" s="9">
        <f t="shared" si="0"/>
        <v>17.900000000000002</v>
      </c>
      <c r="D8" s="58">
        <v>2</v>
      </c>
      <c r="E8" s="70">
        <v>3.2189999999999999</v>
      </c>
      <c r="F8" s="9">
        <f t="shared" si="1"/>
        <v>20.46</v>
      </c>
      <c r="G8" s="58">
        <v>2</v>
      </c>
      <c r="H8" s="70">
        <v>3.2330000000000001</v>
      </c>
      <c r="I8" s="9">
        <f t="shared" si="2"/>
        <v>20.553333333333335</v>
      </c>
      <c r="J8" s="6">
        <v>2</v>
      </c>
      <c r="K8" s="5">
        <f>J8/'0%'!$R$5</f>
        <v>3.6098335949764519E-2</v>
      </c>
      <c r="M8" s="4">
        <f t="shared" si="3"/>
        <v>3.0956666666666668</v>
      </c>
      <c r="N8" s="66">
        <f t="shared" si="4"/>
        <v>0.30956666666666666</v>
      </c>
      <c r="O8" s="66">
        <f t="shared" si="5"/>
        <v>7.1420818626877505E-2</v>
      </c>
      <c r="P8" s="5">
        <f t="shared" si="6"/>
        <v>23.071223848458331</v>
      </c>
      <c r="R8" s="4">
        <f>AVERAGE(H8,E8)</f>
        <v>3.226</v>
      </c>
      <c r="S8" s="66">
        <f t="shared" si="7"/>
        <v>0.3226</v>
      </c>
      <c r="T8" s="66">
        <f>_xlfn.STDEV.S(E8,H8)/SQRT(10)</f>
        <v>3.130495168499758E-3</v>
      </c>
      <c r="U8" s="5">
        <f t="shared" si="8"/>
        <v>0.97039527851821394</v>
      </c>
    </row>
    <row r="9" spans="2:21" ht="15.75" thickBot="1" x14ac:dyDescent="0.3">
      <c r="B9" s="70">
        <v>3.9780000000000002</v>
      </c>
      <c r="C9" s="9">
        <f t="shared" si="0"/>
        <v>25.520000000000003</v>
      </c>
      <c r="D9" s="58">
        <v>3</v>
      </c>
      <c r="E9" s="70">
        <v>4.4989999999999997</v>
      </c>
      <c r="F9" s="9">
        <f t="shared" si="1"/>
        <v>28.993333333333329</v>
      </c>
      <c r="G9" s="58">
        <v>3</v>
      </c>
      <c r="H9" s="70">
        <v>4.54</v>
      </c>
      <c r="I9" s="9">
        <f t="shared" si="2"/>
        <v>29.266666666666666</v>
      </c>
      <c r="J9" s="6">
        <v>3</v>
      </c>
      <c r="K9" s="5">
        <f>J9/'0%'!$R$5</f>
        <v>5.4147503924646782E-2</v>
      </c>
      <c r="M9" s="4">
        <f t="shared" si="3"/>
        <v>4.3389999999999995</v>
      </c>
      <c r="N9" s="66">
        <f t="shared" si="4"/>
        <v>0.43389999999999995</v>
      </c>
      <c r="O9" s="66">
        <f t="shared" si="5"/>
        <v>9.9076233275190606E-2</v>
      </c>
      <c r="P9" s="5">
        <f t="shared" si="6"/>
        <v>22.83388644277267</v>
      </c>
      <c r="R9" s="4">
        <f>AVERAGE(H9,E9)</f>
        <v>4.5194999999999999</v>
      </c>
      <c r="S9" s="66">
        <f t="shared" si="7"/>
        <v>0.45194999999999996</v>
      </c>
      <c r="T9" s="66">
        <f>_xlfn.STDEV.S(E9,H9)/SQRT(10)</f>
        <v>9.1678787077492194E-3</v>
      </c>
      <c r="U9" s="5">
        <f t="shared" si="8"/>
        <v>2.0285161428806768</v>
      </c>
    </row>
    <row r="10" spans="2:21" ht="15.75" thickBot="1" x14ac:dyDescent="0.3">
      <c r="B10" s="70">
        <v>5.0759999999999996</v>
      </c>
      <c r="C10" s="9">
        <f t="shared" si="0"/>
        <v>32.839999999999996</v>
      </c>
      <c r="D10" s="58">
        <v>4</v>
      </c>
      <c r="E10" s="70">
        <v>5.7469999999999999</v>
      </c>
      <c r="F10" s="9">
        <f t="shared" si="1"/>
        <v>37.313333333333333</v>
      </c>
      <c r="G10" s="58">
        <v>4</v>
      </c>
      <c r="H10" s="70">
        <v>5.7919999999999998</v>
      </c>
      <c r="I10" s="9">
        <f t="shared" si="2"/>
        <v>37.61333333333333</v>
      </c>
      <c r="J10" s="6">
        <v>4</v>
      </c>
      <c r="K10" s="5">
        <f>J10/'0%'!$R$5</f>
        <v>7.2196671899529039E-2</v>
      </c>
      <c r="M10" s="4">
        <f t="shared" si="3"/>
        <v>5.538333333333334</v>
      </c>
      <c r="N10" s="66">
        <f t="shared" si="4"/>
        <v>0.5538333333333334</v>
      </c>
      <c r="O10" s="66">
        <f t="shared" si="5"/>
        <v>0.12681495705686038</v>
      </c>
      <c r="P10" s="5">
        <f t="shared" si="6"/>
        <v>22.897675062929949</v>
      </c>
      <c r="R10" s="4">
        <f>AVERAGE(H10,E10)</f>
        <v>5.7694999999999999</v>
      </c>
      <c r="S10" s="66">
        <f t="shared" si="7"/>
        <v>0.57694999999999996</v>
      </c>
      <c r="T10" s="66">
        <f>_xlfn.STDEV.S(E10,H10)/SQRT(10)</f>
        <v>1.0062305898749038E-2</v>
      </c>
      <c r="U10" s="5">
        <f t="shared" si="8"/>
        <v>1.7440516333736091</v>
      </c>
    </row>
    <row r="11" spans="2:21" ht="15.75" thickBot="1" x14ac:dyDescent="0.3">
      <c r="B11" s="70">
        <v>6.0570000000000004</v>
      </c>
      <c r="C11" s="9">
        <f t="shared" si="0"/>
        <v>39.380000000000003</v>
      </c>
      <c r="D11" s="58">
        <v>5</v>
      </c>
      <c r="E11" s="70">
        <v>6.8440000000000003</v>
      </c>
      <c r="F11" s="9">
        <f t="shared" si="1"/>
        <v>44.626666666666665</v>
      </c>
      <c r="G11" s="58">
        <v>5</v>
      </c>
      <c r="H11" s="70">
        <v>6.9139999999999997</v>
      </c>
      <c r="I11" s="9">
        <f t="shared" si="2"/>
        <v>45.093333333333334</v>
      </c>
      <c r="J11" s="6">
        <v>5</v>
      </c>
      <c r="K11" s="5">
        <f>J11/'0%'!$R$5</f>
        <v>9.0245839874411302E-2</v>
      </c>
      <c r="M11" s="4">
        <f t="shared" si="3"/>
        <v>6.6049999999999995</v>
      </c>
      <c r="N11" s="66">
        <f t="shared" si="4"/>
        <v>0.66049999999999998</v>
      </c>
      <c r="O11" s="66">
        <f t="shared" si="5"/>
        <v>0.15048355391869231</v>
      </c>
      <c r="P11" s="5">
        <f t="shared" si="6"/>
        <v>22.783278413125259</v>
      </c>
      <c r="R11" s="4">
        <f>AVERAGE(H11,E11)</f>
        <v>6.8789999999999996</v>
      </c>
      <c r="S11" s="66">
        <f t="shared" si="7"/>
        <v>0.68789999999999996</v>
      </c>
      <c r="T11" s="66">
        <f>_xlfn.STDEV.S(E11,H11)/SQRT(10)</f>
        <v>1.565247584249839E-2</v>
      </c>
      <c r="U11" s="5">
        <f t="shared" si="8"/>
        <v>2.2753998898820162</v>
      </c>
    </row>
    <row r="12" spans="2:21" ht="15.75" thickBot="1" x14ac:dyDescent="0.3">
      <c r="B12" s="70">
        <v>7.8299999999999992</v>
      </c>
      <c r="C12" s="9">
        <f t="shared" si="0"/>
        <v>51.199999999999996</v>
      </c>
      <c r="D12" s="58">
        <v>7.3666666669999996</v>
      </c>
      <c r="E12" s="70">
        <v>8.8239999999999998</v>
      </c>
      <c r="F12" s="9">
        <f t="shared" si="1"/>
        <v>57.826666666666668</v>
      </c>
      <c r="G12" s="58">
        <v>7.3666666669999996</v>
      </c>
      <c r="H12" s="70">
        <v>8.9429999999999996</v>
      </c>
      <c r="I12" s="9">
        <f t="shared" si="2"/>
        <v>58.62</v>
      </c>
      <c r="J12" s="6">
        <v>7.3666666669999996</v>
      </c>
      <c r="K12" s="5">
        <f>J12/'0%'!$R$5</f>
        <v>0.13296220408764903</v>
      </c>
      <c r="M12" s="4">
        <f t="shared" si="3"/>
        <v>8.5323333333333338</v>
      </c>
      <c r="N12" s="66">
        <f t="shared" si="4"/>
        <v>0.8532333333333334</v>
      </c>
      <c r="O12" s="66">
        <f t="shared" si="5"/>
        <v>0.19326001483321212</v>
      </c>
      <c r="P12" s="5">
        <f t="shared" si="6"/>
        <v>22.650312321742252</v>
      </c>
      <c r="R12" s="4">
        <f>AVERAGE(H12,E12)</f>
        <v>8.8834999999999997</v>
      </c>
      <c r="S12" s="66">
        <f t="shared" si="7"/>
        <v>0.88834999999999997</v>
      </c>
      <c r="T12" s="66">
        <f>_xlfn.STDEV.S(E12,H12)/SQRT(10)</f>
        <v>2.6609208932247445E-2</v>
      </c>
      <c r="U12" s="5">
        <f t="shared" si="8"/>
        <v>2.9953519369896373</v>
      </c>
    </row>
    <row r="13" spans="2:21" ht="15.75" thickBot="1" x14ac:dyDescent="0.3">
      <c r="B13" s="71">
        <v>9.8190000000000008</v>
      </c>
      <c r="C13" s="9">
        <f t="shared" si="0"/>
        <v>64.460000000000008</v>
      </c>
      <c r="D13" s="58">
        <v>9.9</v>
      </c>
      <c r="E13" s="70">
        <v>11.044</v>
      </c>
      <c r="F13" s="9">
        <f t="shared" si="1"/>
        <v>72.626666666666665</v>
      </c>
      <c r="G13" s="58">
        <v>9.9</v>
      </c>
      <c r="H13" s="70">
        <v>11.22</v>
      </c>
      <c r="I13" s="9">
        <f t="shared" si="2"/>
        <v>73.800000000000011</v>
      </c>
      <c r="J13" s="6">
        <v>9.9</v>
      </c>
      <c r="K13" s="5">
        <f>J13/'0%'!$R$5</f>
        <v>0.17868676295133437</v>
      </c>
      <c r="M13" s="4">
        <f t="shared" si="3"/>
        <v>10.694333333333333</v>
      </c>
      <c r="N13" s="66">
        <f t="shared" si="4"/>
        <v>1.0694333333333332</v>
      </c>
      <c r="O13" s="66">
        <f t="shared" si="5"/>
        <v>0.24132971912579126</v>
      </c>
      <c r="P13" s="5">
        <f t="shared" si="6"/>
        <v>22.566130267661183</v>
      </c>
      <c r="R13" s="4">
        <f>AVERAGE(H13,E13)</f>
        <v>11.132000000000001</v>
      </c>
      <c r="S13" s="66">
        <f t="shared" si="7"/>
        <v>1.1132000000000002</v>
      </c>
      <c r="T13" s="66">
        <f>_xlfn.STDEV.S(E13,H13)/SQRT(10)</f>
        <v>3.9354796403996334E-2</v>
      </c>
      <c r="U13" s="5">
        <f t="shared" si="8"/>
        <v>3.5352853399206192</v>
      </c>
    </row>
    <row r="14" spans="2:21" ht="15.75" thickBot="1" x14ac:dyDescent="0.3">
      <c r="B14" s="70">
        <v>11.610000000000001</v>
      </c>
      <c r="C14" s="9">
        <f t="shared" si="0"/>
        <v>76.400000000000006</v>
      </c>
      <c r="D14" s="58">
        <v>12.5</v>
      </c>
      <c r="E14" s="70">
        <v>13.127000000000001</v>
      </c>
      <c r="F14" s="9">
        <f t="shared" si="1"/>
        <v>86.513333333333335</v>
      </c>
      <c r="G14" s="58">
        <v>12.5</v>
      </c>
      <c r="H14" s="70">
        <v>13.250999999999999</v>
      </c>
      <c r="I14" s="9">
        <f t="shared" si="2"/>
        <v>87.34</v>
      </c>
      <c r="J14" s="6">
        <v>12.5</v>
      </c>
      <c r="K14" s="5">
        <f>J14/'0%'!$R$5</f>
        <v>0.22561459968602826</v>
      </c>
      <c r="M14" s="4">
        <f t="shared" si="3"/>
        <v>12.662666666666667</v>
      </c>
      <c r="N14" s="66">
        <f t="shared" si="4"/>
        <v>1.2662666666666667</v>
      </c>
      <c r="O14" s="66">
        <f t="shared" si="5"/>
        <v>0.28895057247448602</v>
      </c>
      <c r="P14" s="5">
        <f t="shared" si="6"/>
        <v>22.819093330089977</v>
      </c>
      <c r="R14" s="4">
        <f>AVERAGE(H14,E14)</f>
        <v>13.189</v>
      </c>
      <c r="S14" s="66">
        <f t="shared" si="7"/>
        <v>1.3189</v>
      </c>
      <c r="T14" s="66">
        <f>_xlfn.STDEV.S(E14,H14)/SQRT(10)</f>
        <v>2.7727242920997118E-2</v>
      </c>
      <c r="U14" s="5">
        <f t="shared" si="8"/>
        <v>2.1023006233222472</v>
      </c>
    </row>
    <row r="15" spans="2:21" ht="15.75" thickBot="1" x14ac:dyDescent="0.3">
      <c r="B15" s="70">
        <v>15.381</v>
      </c>
      <c r="C15" s="9">
        <f t="shared" si="0"/>
        <v>101.54</v>
      </c>
      <c r="D15" s="58">
        <v>23.95</v>
      </c>
      <c r="E15" s="70">
        <v>18.321999999999999</v>
      </c>
      <c r="F15" s="9">
        <f t="shared" si="1"/>
        <v>121.14666666666668</v>
      </c>
      <c r="G15" s="58">
        <v>23.95</v>
      </c>
      <c r="H15" s="70">
        <v>17.359000000000002</v>
      </c>
      <c r="I15" s="9">
        <f t="shared" si="2"/>
        <v>114.72666666666669</v>
      </c>
      <c r="J15" s="6">
        <v>23.95</v>
      </c>
      <c r="K15" s="5">
        <f>J15/'0%'!$R$5</f>
        <v>0.43227757299843012</v>
      </c>
      <c r="M15" s="4">
        <f t="shared" si="3"/>
        <v>17.020666666666667</v>
      </c>
      <c r="N15" s="66">
        <f t="shared" si="4"/>
        <v>1.7020666666666666</v>
      </c>
      <c r="O15" s="66">
        <f t="shared" si="5"/>
        <v>0.47415422947953678</v>
      </c>
      <c r="P15" s="5">
        <f t="shared" si="6"/>
        <v>27.85755921112785</v>
      </c>
      <c r="R15" s="4">
        <f>AVERAGE(H15,E15)</f>
        <v>17.840499999999999</v>
      </c>
      <c r="S15" s="66">
        <f t="shared" si="7"/>
        <v>1.7840499999999999</v>
      </c>
      <c r="T15" s="66">
        <f>_xlfn.STDEV.S(E15,H15)/SQRT(10)</f>
        <v>0.21533334623322914</v>
      </c>
      <c r="U15" s="5">
        <f t="shared" si="8"/>
        <v>12.069916551286632</v>
      </c>
    </row>
    <row r="16" spans="2:21" ht="15.75" thickBot="1" x14ac:dyDescent="0.3">
      <c r="B16" s="70">
        <v>16.091999999999999</v>
      </c>
      <c r="C16" s="9">
        <f t="shared" si="0"/>
        <v>106.27999999999999</v>
      </c>
      <c r="D16" s="58">
        <v>27.633333329999999</v>
      </c>
      <c r="E16" s="70">
        <v>18.925000000000001</v>
      </c>
      <c r="F16" s="9">
        <f t="shared" si="1"/>
        <v>125.16666666666669</v>
      </c>
      <c r="G16" s="58">
        <v>27.633333329999999</v>
      </c>
      <c r="H16" s="70">
        <v>18.213000000000001</v>
      </c>
      <c r="I16" s="9">
        <f t="shared" si="2"/>
        <v>120.42000000000002</v>
      </c>
      <c r="J16" s="6">
        <v>27.633333329999999</v>
      </c>
      <c r="K16" s="5">
        <f>J16/'0%'!$R$5</f>
        <v>0.49875867497908255</v>
      </c>
      <c r="M16" s="4">
        <f t="shared" si="3"/>
        <v>17.743333333333332</v>
      </c>
      <c r="N16" s="66">
        <f t="shared" si="4"/>
        <v>1.7743333333333333</v>
      </c>
      <c r="O16" s="66">
        <f t="shared" si="5"/>
        <v>0.46603780247243209</v>
      </c>
      <c r="P16" s="5">
        <f t="shared" si="6"/>
        <v>26.265515825987155</v>
      </c>
      <c r="R16" s="4">
        <f>AVERAGE(H16,E16)</f>
        <v>18.569000000000003</v>
      </c>
      <c r="S16" s="66">
        <f t="shared" si="7"/>
        <v>1.8569000000000002</v>
      </c>
      <c r="T16" s="66">
        <f>_xlfn.STDEV.S(E16,H16)/SQRT(10)</f>
        <v>0.15920803999798494</v>
      </c>
      <c r="U16" s="5">
        <f t="shared" si="8"/>
        <v>8.5738618125900636</v>
      </c>
    </row>
    <row r="17" spans="2:21" ht="15.75" thickBot="1" x14ac:dyDescent="0.3">
      <c r="B17" s="70">
        <v>16.551000000000002</v>
      </c>
      <c r="C17" s="9">
        <f t="shared" si="0"/>
        <v>109.34000000000003</v>
      </c>
      <c r="D17" s="58">
        <v>32.25</v>
      </c>
      <c r="E17" s="70">
        <v>19.196999999999999</v>
      </c>
      <c r="F17" s="9">
        <f t="shared" si="1"/>
        <v>126.98</v>
      </c>
      <c r="G17" s="58">
        <v>32.1</v>
      </c>
      <c r="H17" s="70">
        <v>18.79</v>
      </c>
      <c r="I17" s="9">
        <f t="shared" si="2"/>
        <v>124.26666666666668</v>
      </c>
      <c r="J17" s="6">
        <v>32.1</v>
      </c>
      <c r="K17" s="5">
        <f>J17/'0%'!$R$5</f>
        <v>0.5793782919937206</v>
      </c>
      <c r="M17" s="4">
        <f t="shared" si="3"/>
        <v>18.179333333333336</v>
      </c>
      <c r="N17" s="66">
        <f t="shared" si="4"/>
        <v>1.8179333333333336</v>
      </c>
      <c r="O17" s="66">
        <f t="shared" si="5"/>
        <v>0.45055680367000661</v>
      </c>
      <c r="P17" s="5">
        <f t="shared" si="6"/>
        <v>24.784011350068202</v>
      </c>
      <c r="R17" s="4">
        <f>AVERAGE(H17,E17)</f>
        <v>18.993499999999997</v>
      </c>
      <c r="S17" s="66">
        <f t="shared" si="7"/>
        <v>1.8993499999999996</v>
      </c>
      <c r="T17" s="66">
        <f>_xlfn.STDEV.S(E17,H17)/SQRT(10)</f>
        <v>9.1007966684241437E-2</v>
      </c>
      <c r="U17" s="5">
        <f t="shared" si="8"/>
        <v>4.7915321917625207</v>
      </c>
    </row>
    <row r="18" spans="2:21" ht="15.75" thickBot="1" x14ac:dyDescent="0.3">
      <c r="B18" s="71">
        <v>16.632000000000001</v>
      </c>
      <c r="C18" s="9">
        <f t="shared" si="0"/>
        <v>109.88000000000002</v>
      </c>
      <c r="D18" s="58">
        <v>36.549999999999997</v>
      </c>
      <c r="E18" s="70">
        <v>19.446000000000002</v>
      </c>
      <c r="F18" s="9">
        <f t="shared" si="1"/>
        <v>128.64000000000001</v>
      </c>
      <c r="G18" s="58">
        <v>36.549999999999997</v>
      </c>
      <c r="H18" s="70">
        <v>18.847999999999999</v>
      </c>
      <c r="I18" s="9">
        <f t="shared" si="2"/>
        <v>124.65333333333334</v>
      </c>
      <c r="J18" s="6">
        <v>36.549999999999997</v>
      </c>
      <c r="K18" s="5">
        <f>J18/'0%'!$R$5</f>
        <v>0.65969708948194661</v>
      </c>
      <c r="M18" s="4">
        <f t="shared" si="3"/>
        <v>18.308666666666667</v>
      </c>
      <c r="N18" s="66">
        <f t="shared" si="4"/>
        <v>1.8308666666666666</v>
      </c>
      <c r="O18" s="66">
        <f>_xlfn.STDEV.S(B18,E18,H18)/SQRT(10)</f>
        <v>0.46880799196828249</v>
      </c>
      <c r="P18" s="5">
        <f t="shared" si="6"/>
        <v>25.605796451677666</v>
      </c>
      <c r="R18" s="4">
        <f>AVERAGE(H18,E18)</f>
        <v>19.146999999999998</v>
      </c>
      <c r="S18" s="66">
        <f>R18/10</f>
        <v>1.9146999999999998</v>
      </c>
      <c r="T18" s="66">
        <f>_xlfn.STDEV.S(E18,H18)/SQRT(10)</f>
        <v>0.13371686505448799</v>
      </c>
      <c r="U18" s="5">
        <f t="shared" si="8"/>
        <v>6.9836979711959053</v>
      </c>
    </row>
    <row r="19" spans="2:21" ht="15.75" thickBot="1" x14ac:dyDescent="0.3">
      <c r="B19" s="70">
        <v>16.650000000000002</v>
      </c>
      <c r="C19" s="9">
        <f t="shared" si="0"/>
        <v>110.00000000000003</v>
      </c>
      <c r="D19" s="58">
        <v>45.766666669999999</v>
      </c>
      <c r="E19" s="70">
        <v>19.489999999999998</v>
      </c>
      <c r="F19" s="9">
        <f t="shared" si="1"/>
        <v>128.93333333333334</v>
      </c>
      <c r="G19" s="58">
        <v>45.766666669999999</v>
      </c>
      <c r="H19" s="70">
        <v>18.864000000000001</v>
      </c>
      <c r="I19" s="9">
        <f t="shared" si="2"/>
        <v>124.76000000000002</v>
      </c>
      <c r="J19" s="6">
        <v>45.766666669999999</v>
      </c>
      <c r="K19" s="5">
        <f>J19/'0%'!$R$5</f>
        <v>0.82605025437727531</v>
      </c>
      <c r="M19" s="4">
        <f t="shared" si="3"/>
        <v>18.334666666666667</v>
      </c>
      <c r="N19" s="66">
        <f t="shared" si="4"/>
        <v>1.8334666666666668</v>
      </c>
      <c r="O19" s="66">
        <f t="shared" si="5"/>
        <v>0.47186283317647809</v>
      </c>
      <c r="P19" s="5">
        <f t="shared" si="6"/>
        <v>25.736101002280456</v>
      </c>
      <c r="R19" s="4">
        <f>AVERAGE(H19,E19)</f>
        <v>19.177</v>
      </c>
      <c r="S19" s="66">
        <f t="shared" si="7"/>
        <v>1.9177</v>
      </c>
      <c r="T19" s="66">
        <f>_xlfn.STDEV.S(E19,H19)/SQRT(10)</f>
        <v>0.1399778553914863</v>
      </c>
      <c r="U19" s="5">
        <f t="shared" si="8"/>
        <v>7.2992572034982679</v>
      </c>
    </row>
    <row r="20" spans="2:21" ht="15.75" thickBot="1" x14ac:dyDescent="0.3">
      <c r="B20" s="70">
        <v>16.667999999999999</v>
      </c>
      <c r="C20" s="9">
        <f t="shared" si="0"/>
        <v>110.12</v>
      </c>
      <c r="D20" s="58">
        <v>52.266666669999999</v>
      </c>
      <c r="E20" s="70">
        <v>19.559000000000001</v>
      </c>
      <c r="F20" s="9">
        <f t="shared" si="1"/>
        <v>129.39333333333335</v>
      </c>
      <c r="G20" s="58">
        <v>52.266666669999999</v>
      </c>
      <c r="H20" s="70">
        <v>18.873999999999999</v>
      </c>
      <c r="I20" s="9">
        <f t="shared" si="2"/>
        <v>124.82666666666667</v>
      </c>
      <c r="J20" s="6">
        <v>52.266666669999999</v>
      </c>
      <c r="K20" s="5">
        <f>J20/'0%'!$R$5</f>
        <v>0.94336984621400999</v>
      </c>
      <c r="M20" s="4">
        <f t="shared" si="3"/>
        <v>18.367000000000001</v>
      </c>
      <c r="N20" s="66">
        <f t="shared" si="4"/>
        <v>1.8367</v>
      </c>
      <c r="O20" s="66">
        <f t="shared" si="5"/>
        <v>0.4777297353106672</v>
      </c>
      <c r="P20" s="5">
        <f t="shared" si="6"/>
        <v>26.010221337761593</v>
      </c>
      <c r="R20" s="4">
        <f>AVERAGE(H20,E20)</f>
        <v>19.2165</v>
      </c>
      <c r="S20" s="66">
        <f t="shared" si="7"/>
        <v>1.9216500000000001</v>
      </c>
      <c r="T20" s="66">
        <f>_xlfn.STDEV.S(E20,H20)/SQRT(10)</f>
        <v>0.15317065645873609</v>
      </c>
      <c r="U20" s="5">
        <f t="shared" si="8"/>
        <v>7.9707884608922601</v>
      </c>
    </row>
    <row r="21" spans="2:21" ht="15.75" thickBot="1" x14ac:dyDescent="0.3">
      <c r="B21" s="70">
        <v>16.667999999999999</v>
      </c>
      <c r="C21" s="9">
        <f t="shared" si="0"/>
        <v>110.12</v>
      </c>
      <c r="D21" s="58">
        <v>60.583333330000002</v>
      </c>
      <c r="E21" s="70">
        <v>19.559000000000001</v>
      </c>
      <c r="F21" s="9">
        <f t="shared" si="1"/>
        <v>129.39333333333335</v>
      </c>
      <c r="G21" s="58">
        <v>60.583333330000002</v>
      </c>
      <c r="H21" s="70">
        <v>18.873999999999999</v>
      </c>
      <c r="I21" s="9">
        <f t="shared" si="2"/>
        <v>124.82666666666667</v>
      </c>
      <c r="J21" s="6">
        <v>60.583333330000002</v>
      </c>
      <c r="K21" s="5">
        <f>J21/'0%'!$R$5</f>
        <v>1.093478759751453</v>
      </c>
      <c r="M21" s="4">
        <f t="shared" si="3"/>
        <v>18.367000000000001</v>
      </c>
      <c r="N21" s="66">
        <f t="shared" si="4"/>
        <v>1.8367</v>
      </c>
      <c r="O21" s="66">
        <f t="shared" si="5"/>
        <v>0.4777297353106672</v>
      </c>
      <c r="P21" s="5">
        <f t="shared" si="6"/>
        <v>26.010221337761593</v>
      </c>
      <c r="R21" s="4">
        <f>AVERAGE(H21,E21)</f>
        <v>19.2165</v>
      </c>
      <c r="S21" s="66">
        <f t="shared" si="7"/>
        <v>1.9216500000000001</v>
      </c>
      <c r="T21" s="66">
        <f>_xlfn.STDEV.S(E21,H21)/SQRT(10)</f>
        <v>0.15317065645873609</v>
      </c>
      <c r="U21" s="5">
        <f t="shared" si="8"/>
        <v>7.9707884608922601</v>
      </c>
    </row>
    <row r="22" spans="2:21" ht="15.75" thickBot="1" x14ac:dyDescent="0.3">
      <c r="B22" s="70">
        <v>16.667999999999999</v>
      </c>
      <c r="C22" s="9">
        <f t="shared" si="0"/>
        <v>110.12</v>
      </c>
      <c r="D22" s="58">
        <v>69.433333329999996</v>
      </c>
      <c r="E22" s="70">
        <v>19.559000000000001</v>
      </c>
      <c r="F22" s="9">
        <f t="shared" si="1"/>
        <v>129.39333333333335</v>
      </c>
      <c r="G22" s="58">
        <v>69.433333329999996</v>
      </c>
      <c r="H22" s="70">
        <v>18.873999999999999</v>
      </c>
      <c r="I22" s="9">
        <f t="shared" si="2"/>
        <v>124.82666666666667</v>
      </c>
      <c r="J22" s="6">
        <v>69.433333329999996</v>
      </c>
      <c r="K22" s="5">
        <f>J22/'0%'!$R$5</f>
        <v>1.253213896329161</v>
      </c>
      <c r="M22" s="4">
        <f t="shared" si="3"/>
        <v>18.367000000000001</v>
      </c>
      <c r="N22" s="66">
        <f t="shared" si="4"/>
        <v>1.8367</v>
      </c>
      <c r="O22" s="66">
        <f t="shared" si="5"/>
        <v>0.4777297353106672</v>
      </c>
      <c r="P22" s="5">
        <f t="shared" si="6"/>
        <v>26.010221337761593</v>
      </c>
      <c r="R22" s="4">
        <f>AVERAGE(H22,E22)</f>
        <v>19.2165</v>
      </c>
      <c r="S22" s="66">
        <f t="shared" si="7"/>
        <v>1.9216500000000001</v>
      </c>
      <c r="T22" s="66">
        <f>_xlfn.STDEV.S(E22,H22)/SQRT(10)</f>
        <v>0.15317065645873609</v>
      </c>
      <c r="U22" s="5">
        <f t="shared" si="8"/>
        <v>7.9707884608922601</v>
      </c>
    </row>
    <row r="23" spans="2:21" ht="15.75" thickBot="1" x14ac:dyDescent="0.3">
      <c r="B23" s="70">
        <v>16.667999999999999</v>
      </c>
      <c r="C23" s="9">
        <f t="shared" si="0"/>
        <v>110.12</v>
      </c>
      <c r="D23" s="58">
        <v>81.3</v>
      </c>
      <c r="E23" s="70">
        <v>19.559000000000001</v>
      </c>
      <c r="F23" s="9">
        <f t="shared" si="1"/>
        <v>129.39333333333335</v>
      </c>
      <c r="G23" s="58">
        <v>81.3</v>
      </c>
      <c r="H23" s="70">
        <v>18.873999999999999</v>
      </c>
      <c r="I23" s="9">
        <f t="shared" si="2"/>
        <v>124.82666666666667</v>
      </c>
      <c r="J23" s="6">
        <v>81.3</v>
      </c>
      <c r="K23" s="5">
        <f>J23/'0%'!$R$5</f>
        <v>1.4673973563579277</v>
      </c>
      <c r="M23" s="4">
        <f t="shared" si="3"/>
        <v>18.367000000000001</v>
      </c>
      <c r="N23" s="66">
        <f t="shared" si="4"/>
        <v>1.8367</v>
      </c>
      <c r="O23" s="66">
        <f t="shared" si="5"/>
        <v>0.4777297353106672</v>
      </c>
      <c r="P23" s="5">
        <f t="shared" si="6"/>
        <v>26.010221337761593</v>
      </c>
      <c r="R23" s="4">
        <f>AVERAGE(H23,E23)</f>
        <v>19.2165</v>
      </c>
      <c r="S23" s="66">
        <f t="shared" si="7"/>
        <v>1.9216500000000001</v>
      </c>
      <c r="T23" s="66">
        <f>_xlfn.STDEV.S(E23,H23)/SQRT(10)</f>
        <v>0.15317065645873609</v>
      </c>
      <c r="U23" s="5">
        <f t="shared" si="8"/>
        <v>7.9707884608922601</v>
      </c>
    </row>
    <row r="24" spans="2:21" ht="15.75" thickBot="1" x14ac:dyDescent="0.3">
      <c r="B24" s="70">
        <v>16.667999999999999</v>
      </c>
      <c r="C24" s="9">
        <f t="shared" si="0"/>
        <v>110.12</v>
      </c>
      <c r="D24" s="58">
        <v>101.6833333</v>
      </c>
      <c r="E24" s="70">
        <v>19.559000000000001</v>
      </c>
      <c r="F24" s="9">
        <f t="shared" si="1"/>
        <v>129.39333333333335</v>
      </c>
      <c r="G24" s="58">
        <v>101.6833333</v>
      </c>
      <c r="H24" s="70">
        <v>18.873999999999999</v>
      </c>
      <c r="I24" s="9">
        <f t="shared" si="2"/>
        <v>124.82666666666667</v>
      </c>
      <c r="J24" s="6">
        <v>101.6833333</v>
      </c>
      <c r="K24" s="5">
        <f>J24/'0%'!$R$5</f>
        <v>1.835299562977639</v>
      </c>
      <c r="M24" s="4">
        <f t="shared" si="3"/>
        <v>18.367000000000001</v>
      </c>
      <c r="N24" s="66">
        <f t="shared" si="4"/>
        <v>1.8367</v>
      </c>
      <c r="O24" s="66">
        <f t="shared" si="5"/>
        <v>0.4777297353106672</v>
      </c>
      <c r="P24" s="5">
        <f t="shared" si="6"/>
        <v>26.010221337761593</v>
      </c>
      <c r="R24" s="4">
        <f>AVERAGE(H24,E24)</f>
        <v>19.2165</v>
      </c>
      <c r="S24" s="66">
        <f t="shared" si="7"/>
        <v>1.9216500000000001</v>
      </c>
      <c r="T24" s="66">
        <f>_xlfn.STDEV.S(E24,H24)/SQRT(10)</f>
        <v>0.15317065645873609</v>
      </c>
      <c r="U24" s="5">
        <f t="shared" si="8"/>
        <v>7.9707884608922601</v>
      </c>
    </row>
    <row r="25" spans="2:21" ht="15.75" thickBot="1" x14ac:dyDescent="0.3">
      <c r="B25" s="72">
        <v>16.667999999999999</v>
      </c>
      <c r="C25" s="73">
        <f t="shared" si="0"/>
        <v>110.12</v>
      </c>
      <c r="D25" s="61">
        <v>128.28333330000001</v>
      </c>
      <c r="E25" s="72">
        <v>19.559000000000001</v>
      </c>
      <c r="F25" s="73">
        <f t="shared" si="1"/>
        <v>129.39333333333335</v>
      </c>
      <c r="G25" s="61">
        <v>128.28333330000001</v>
      </c>
      <c r="H25" s="72">
        <v>18.873999999999999</v>
      </c>
      <c r="I25" s="73">
        <f t="shared" si="2"/>
        <v>124.82666666666667</v>
      </c>
      <c r="J25" s="60">
        <v>128.28333330000001</v>
      </c>
      <c r="K25" s="12">
        <f>J25/'0%'!$R$5</f>
        <v>2.3154074311095072</v>
      </c>
      <c r="M25" s="10">
        <f t="shared" si="3"/>
        <v>18.367000000000001</v>
      </c>
      <c r="N25" s="11">
        <f t="shared" si="4"/>
        <v>1.8367</v>
      </c>
      <c r="O25" s="11">
        <f t="shared" si="5"/>
        <v>0.4777297353106672</v>
      </c>
      <c r="P25" s="12">
        <f t="shared" si="6"/>
        <v>26.010221337761593</v>
      </c>
      <c r="R25" s="10">
        <f>AVERAGE(H25,E25)</f>
        <v>19.2165</v>
      </c>
      <c r="S25" s="11">
        <f t="shared" si="7"/>
        <v>1.9216500000000001</v>
      </c>
      <c r="T25" s="11">
        <f>_xlfn.STDEV.S(E25,H25)/SQRT(10)</f>
        <v>0.15317065645873609</v>
      </c>
      <c r="U25" s="12">
        <f t="shared" si="8"/>
        <v>7.9707884608922601</v>
      </c>
    </row>
    <row r="26" spans="2:21" ht="15.75" thickBot="1" x14ac:dyDescent="0.3"/>
    <row r="27" spans="2:21" ht="15.75" thickBot="1" x14ac:dyDescent="0.3">
      <c r="E27" s="7"/>
      <c r="F27" s="7"/>
      <c r="G27" s="7"/>
    </row>
    <row r="28" spans="2:21" ht="15.75" thickBot="1" x14ac:dyDescent="0.3">
      <c r="E28" s="7"/>
      <c r="F28" s="7"/>
      <c r="G28" s="7"/>
    </row>
    <row r="29" spans="2:21" ht="15.75" thickBot="1" x14ac:dyDescent="0.3">
      <c r="E29" s="7"/>
      <c r="F29" s="7"/>
      <c r="G29" s="7"/>
    </row>
  </sheetData>
  <mergeCells count="5">
    <mergeCell ref="M2:P2"/>
    <mergeCell ref="R2:U2"/>
    <mergeCell ref="B2:D2"/>
    <mergeCell ref="R1:U1"/>
    <mergeCell ref="M1:P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4"/>
  <sheetViews>
    <sheetView topLeftCell="A6" zoomScaleNormal="100" workbookViewId="0">
      <selection activeCell="J3" sqref="J3:J24"/>
    </sheetView>
  </sheetViews>
  <sheetFormatPr baseColWidth="10" defaultRowHeight="15" x14ac:dyDescent="0.25"/>
  <sheetData>
    <row r="1" spans="1:15" ht="15.75" thickBot="1" x14ac:dyDescent="0.3"/>
    <row r="2" spans="1:15" ht="15.75" thickBot="1" x14ac:dyDescent="0.3">
      <c r="L2" s="47" t="s">
        <v>6</v>
      </c>
      <c r="M2" s="48"/>
      <c r="N2" s="48"/>
      <c r="O2" s="49"/>
    </row>
    <row r="3" spans="1:15" ht="15.75" thickBot="1" x14ac:dyDescent="0.3">
      <c r="A3" s="51" t="s">
        <v>1</v>
      </c>
      <c r="B3" s="67" t="s">
        <v>10</v>
      </c>
      <c r="C3" s="53" t="s">
        <v>2</v>
      </c>
      <c r="D3" s="51" t="s">
        <v>1</v>
      </c>
      <c r="E3" s="67" t="s">
        <v>10</v>
      </c>
      <c r="F3" s="54" t="s">
        <v>2</v>
      </c>
      <c r="G3" s="51" t="s">
        <v>1</v>
      </c>
      <c r="H3" s="67" t="s">
        <v>10</v>
      </c>
      <c r="I3" s="54" t="s">
        <v>2</v>
      </c>
      <c r="J3" s="25" t="s">
        <v>11</v>
      </c>
      <c r="K3" s="29"/>
      <c r="L3" s="87" t="s">
        <v>17</v>
      </c>
      <c r="M3" s="88" t="s">
        <v>18</v>
      </c>
      <c r="N3" s="88" t="s">
        <v>3</v>
      </c>
      <c r="O3" s="69" t="s">
        <v>0</v>
      </c>
    </row>
    <row r="4" spans="1:15" ht="16.5" thickTop="1" thickBot="1" x14ac:dyDescent="0.3">
      <c r="A4" s="4">
        <v>0.15</v>
      </c>
      <c r="B4" s="66">
        <f>(A4-$A$4)/$A$4</f>
        <v>0</v>
      </c>
      <c r="C4" s="66">
        <v>0</v>
      </c>
      <c r="D4" s="70">
        <v>0.15</v>
      </c>
      <c r="E4" s="66">
        <f>(D4-$A$4)/$A$4</f>
        <v>0</v>
      </c>
      <c r="F4" s="58">
        <v>0</v>
      </c>
      <c r="G4" s="4">
        <v>0.15</v>
      </c>
      <c r="H4" s="66">
        <f>(G4-$A$4)/$A$4</f>
        <v>0</v>
      </c>
      <c r="I4" s="5">
        <v>0</v>
      </c>
      <c r="J4" s="18">
        <f>I4/'0%'!$R$6</f>
        <v>0</v>
      </c>
      <c r="L4" s="1">
        <f>AVERAGE(A4,D4,G4)</f>
        <v>0.15</v>
      </c>
      <c r="M4" s="2">
        <f>L4/10</f>
        <v>1.4999999999999999E-2</v>
      </c>
      <c r="N4" s="2">
        <f>_xlfn.STDEV.S(A4,D4,G4)/SQRT(10)</f>
        <v>0</v>
      </c>
      <c r="O4" s="3">
        <f>N4/L4*100*10</f>
        <v>0</v>
      </c>
    </row>
    <row r="5" spans="1:15" ht="15.75" thickBot="1" x14ac:dyDescent="0.3">
      <c r="A5" s="4">
        <v>1.111</v>
      </c>
      <c r="B5" s="66">
        <f t="shared" ref="B5:B24" si="0">(A5-$A$4)/$A$4</f>
        <v>6.4066666666666663</v>
      </c>
      <c r="C5" s="66">
        <v>1</v>
      </c>
      <c r="D5" s="70">
        <v>1.105</v>
      </c>
      <c r="E5" s="66">
        <f t="shared" ref="E5:E24" si="1">(D5-$A$4)/$A$4</f>
        <v>6.3666666666666663</v>
      </c>
      <c r="F5" s="58">
        <v>1</v>
      </c>
      <c r="G5" s="4">
        <v>1.1140000000000001</v>
      </c>
      <c r="H5" s="66">
        <f t="shared" ref="H5:H24" si="2">(G5-$A$4)/$A$4</f>
        <v>6.4266666666666676</v>
      </c>
      <c r="I5" s="5">
        <v>1</v>
      </c>
      <c r="J5" s="18">
        <f>I5/'0%'!$R$6</f>
        <v>1.1187500810877436E-2</v>
      </c>
      <c r="L5" s="4">
        <f>AVERAGE(A5,D5,G5)</f>
        <v>1.1100000000000001</v>
      </c>
      <c r="M5" s="66">
        <f t="shared" ref="M5:M24" si="3">L5/10</f>
        <v>0.11100000000000002</v>
      </c>
      <c r="N5" s="66">
        <f>_xlfn.STDEV.S(A5,D5,G5)/SQRT(10)</f>
        <v>1.4491376746189604E-3</v>
      </c>
      <c r="O5" s="5">
        <f t="shared" ref="O5:O24" si="4">N5/L5*100*10</f>
        <v>1.3055294365936578</v>
      </c>
    </row>
    <row r="6" spans="1:15" ht="15.75" thickBot="1" x14ac:dyDescent="0.3">
      <c r="A6" s="4">
        <v>1.8440000000000001</v>
      </c>
      <c r="B6" s="66">
        <f t="shared" si="0"/>
        <v>11.293333333333335</v>
      </c>
      <c r="C6" s="66">
        <v>2</v>
      </c>
      <c r="D6" s="70">
        <v>1.9410000000000001</v>
      </c>
      <c r="E6" s="66">
        <f t="shared" si="1"/>
        <v>11.940000000000001</v>
      </c>
      <c r="F6" s="58">
        <v>2</v>
      </c>
      <c r="G6" s="4">
        <v>1.8919999999999999</v>
      </c>
      <c r="H6" s="66">
        <f t="shared" si="2"/>
        <v>11.613333333333333</v>
      </c>
      <c r="I6" s="5">
        <v>2</v>
      </c>
      <c r="J6" s="18">
        <f>I6/'0%'!$R$6</f>
        <v>2.2375001621754872E-2</v>
      </c>
      <c r="L6" s="4">
        <f>AVERAGE(A6,D6,G6)</f>
        <v>1.8923333333333332</v>
      </c>
      <c r="M6" s="66">
        <f t="shared" si="3"/>
        <v>0.18923333333333331</v>
      </c>
      <c r="N6" s="66">
        <f>_xlfn.STDEV.S(A6,D6,G6)/SQRT(10)</f>
        <v>1.5337318322749033E-2</v>
      </c>
      <c r="O6" s="5">
        <f t="shared" si="4"/>
        <v>8.1049770949880404</v>
      </c>
    </row>
    <row r="7" spans="1:15" ht="15.75" thickBot="1" x14ac:dyDescent="0.3">
      <c r="A7" s="4">
        <v>2.6629999999999998</v>
      </c>
      <c r="B7" s="66">
        <f t="shared" si="0"/>
        <v>16.753333333333334</v>
      </c>
      <c r="C7" s="66">
        <v>3</v>
      </c>
      <c r="D7" s="70">
        <v>2.7610000000000001</v>
      </c>
      <c r="E7" s="66">
        <f t="shared" si="1"/>
        <v>17.40666666666667</v>
      </c>
      <c r="F7" s="58">
        <v>3</v>
      </c>
      <c r="G7" s="4">
        <v>2.7130000000000001</v>
      </c>
      <c r="H7" s="66">
        <f t="shared" si="2"/>
        <v>17.08666666666667</v>
      </c>
      <c r="I7" s="5">
        <v>3</v>
      </c>
      <c r="J7" s="18">
        <f>I7/'0%'!$R$6</f>
        <v>3.3562502432632313E-2</v>
      </c>
      <c r="L7" s="4">
        <f>AVERAGE(A7,D7,G7)</f>
        <v>2.7123333333333335</v>
      </c>
      <c r="M7" s="66">
        <f t="shared" si="3"/>
        <v>0.27123333333333333</v>
      </c>
      <c r="N7" s="66">
        <f>_xlfn.STDEV.S(A7,D7,G7)/SQRT(10)</f>
        <v>1.5496236102142185E-2</v>
      </c>
      <c r="O7" s="5">
        <f t="shared" si="4"/>
        <v>5.7132491466666524</v>
      </c>
    </row>
    <row r="8" spans="1:15" ht="15.75" thickBot="1" x14ac:dyDescent="0.3">
      <c r="A8" s="4">
        <v>3.5230000000000001</v>
      </c>
      <c r="B8" s="66">
        <f t="shared" si="0"/>
        <v>22.486666666666668</v>
      </c>
      <c r="C8" s="66">
        <v>4</v>
      </c>
      <c r="D8" s="70">
        <v>3.5619999999999998</v>
      </c>
      <c r="E8" s="66">
        <f t="shared" si="1"/>
        <v>22.746666666666666</v>
      </c>
      <c r="F8" s="58">
        <v>4</v>
      </c>
      <c r="G8" s="4">
        <v>3.5339999999999998</v>
      </c>
      <c r="H8" s="66">
        <f t="shared" si="2"/>
        <v>22.56</v>
      </c>
      <c r="I8" s="5">
        <v>4</v>
      </c>
      <c r="J8" s="18">
        <f>I8/'0%'!$R$6</f>
        <v>4.4750003243509744E-2</v>
      </c>
      <c r="L8" s="4">
        <f>AVERAGE(A8,D8,G8)</f>
        <v>3.5396666666666667</v>
      </c>
      <c r="M8" s="66">
        <f t="shared" si="3"/>
        <v>0.35396666666666665</v>
      </c>
      <c r="N8" s="66">
        <f>_xlfn.STDEV.S(A8,D8,G8)/SQRT(10)</f>
        <v>6.3587210454094344E-3</v>
      </c>
      <c r="O8" s="5">
        <f t="shared" si="4"/>
        <v>1.7964180371248049</v>
      </c>
    </row>
    <row r="9" spans="1:15" ht="15.75" thickBot="1" x14ac:dyDescent="0.3">
      <c r="A9" s="4">
        <v>4.242</v>
      </c>
      <c r="B9" s="66">
        <f t="shared" si="0"/>
        <v>27.279999999999998</v>
      </c>
      <c r="C9" s="66">
        <v>5</v>
      </c>
      <c r="D9" s="70">
        <v>4.343</v>
      </c>
      <c r="E9" s="66">
        <f t="shared" si="1"/>
        <v>27.953333333333333</v>
      </c>
      <c r="F9" s="58">
        <v>5</v>
      </c>
      <c r="G9" s="4">
        <v>4.2910000000000004</v>
      </c>
      <c r="H9" s="66">
        <f t="shared" si="2"/>
        <v>27.606666666666669</v>
      </c>
      <c r="I9" s="5">
        <v>5</v>
      </c>
      <c r="J9" s="18">
        <f>I9/'0%'!$R$6</f>
        <v>5.5937504054387181E-2</v>
      </c>
      <c r="L9" s="4">
        <f>AVERAGE(A9,D9,G9)</f>
        <v>4.2920000000000007</v>
      </c>
      <c r="M9" s="66">
        <f t="shared" si="3"/>
        <v>0.42920000000000008</v>
      </c>
      <c r="N9" s="66">
        <f>_xlfn.STDEV.S(A9,D9,G9)/SQRT(10)</f>
        <v>1.5971850237214216E-2</v>
      </c>
      <c r="O9" s="5">
        <f t="shared" si="4"/>
        <v>3.7213071382139362</v>
      </c>
    </row>
    <row r="10" spans="1:15" ht="15.75" thickBot="1" x14ac:dyDescent="0.3">
      <c r="A10" s="4">
        <v>5.8230000000000004</v>
      </c>
      <c r="B10" s="66">
        <f t="shared" si="0"/>
        <v>37.82</v>
      </c>
      <c r="C10" s="66">
        <v>7.36666666666666</v>
      </c>
      <c r="D10" s="70">
        <v>6.02</v>
      </c>
      <c r="E10" s="66">
        <f t="shared" si="1"/>
        <v>39.133333333333333</v>
      </c>
      <c r="F10" s="58">
        <v>7.3666666669999996</v>
      </c>
      <c r="G10" s="4">
        <v>5.9249999999999998</v>
      </c>
      <c r="H10" s="66">
        <f t="shared" si="2"/>
        <v>38.5</v>
      </c>
      <c r="I10" s="5">
        <v>7.3666666669999996</v>
      </c>
      <c r="J10" s="18">
        <f>I10/'0%'!$R$6</f>
        <v>8.2414589310526282E-2</v>
      </c>
      <c r="L10" s="4">
        <f>AVERAGE(A10,D10,G10)</f>
        <v>5.9226666666666672</v>
      </c>
      <c r="M10" s="66">
        <f t="shared" si="3"/>
        <v>0.59226666666666672</v>
      </c>
      <c r="N10" s="66">
        <f>_xlfn.STDEV.S(A10,D10,G10)/SQRT(10)</f>
        <v>3.115498889958597E-2</v>
      </c>
      <c r="O10" s="5">
        <f t="shared" si="4"/>
        <v>5.2602975404523802</v>
      </c>
    </row>
    <row r="11" spans="1:15" ht="15.75" thickBot="1" x14ac:dyDescent="0.3">
      <c r="A11" s="4">
        <v>7.6120000000000001</v>
      </c>
      <c r="B11" s="66">
        <f t="shared" si="0"/>
        <v>49.74666666666667</v>
      </c>
      <c r="C11" s="66">
        <v>9.9</v>
      </c>
      <c r="D11" s="70">
        <v>7.742</v>
      </c>
      <c r="E11" s="66">
        <f t="shared" si="1"/>
        <v>50.61333333333333</v>
      </c>
      <c r="F11" s="58">
        <v>9.9</v>
      </c>
      <c r="G11" s="4">
        <v>7.67</v>
      </c>
      <c r="H11" s="66">
        <f t="shared" si="2"/>
        <v>50.133333333333333</v>
      </c>
      <c r="I11" s="5">
        <v>9.9</v>
      </c>
      <c r="J11" s="18">
        <f>I11/'0%'!$R$6</f>
        <v>0.11075625802768663</v>
      </c>
      <c r="L11" s="4">
        <f>AVERAGE(A11,D11,G11)</f>
        <v>7.674666666666667</v>
      </c>
      <c r="M11" s="66">
        <f t="shared" si="3"/>
        <v>0.76746666666666674</v>
      </c>
      <c r="N11" s="66">
        <f>_xlfn.STDEV.S(A11,D11,G11)/SQRT(10)</f>
        <v>2.059449764702535E-2</v>
      </c>
      <c r="O11" s="5">
        <f t="shared" si="4"/>
        <v>2.6834387135630666</v>
      </c>
    </row>
    <row r="12" spans="1:15" ht="15.75" thickBot="1" x14ac:dyDescent="0.3">
      <c r="A12" s="4">
        <v>9.01</v>
      </c>
      <c r="B12" s="66">
        <f t="shared" si="0"/>
        <v>59.066666666666663</v>
      </c>
      <c r="C12" s="66">
        <v>12.5</v>
      </c>
      <c r="D12" s="70">
        <v>9.2469999999999999</v>
      </c>
      <c r="E12" s="66">
        <f t="shared" si="1"/>
        <v>60.646666666666668</v>
      </c>
      <c r="F12" s="58">
        <v>12.5</v>
      </c>
      <c r="G12" s="4">
        <v>9.125</v>
      </c>
      <c r="H12" s="66">
        <f t="shared" si="2"/>
        <v>59.833333333333336</v>
      </c>
      <c r="I12" s="5">
        <v>12.5</v>
      </c>
      <c r="J12" s="18">
        <f>I12/'0%'!$R$6</f>
        <v>0.13984376013596797</v>
      </c>
      <c r="L12" s="4">
        <f>AVERAGE(A12,D12,G12)</f>
        <v>9.1273333333333326</v>
      </c>
      <c r="M12" s="66">
        <f t="shared" si="3"/>
        <v>0.91273333333333329</v>
      </c>
      <c r="N12" s="66">
        <f>_xlfn.STDEV.S(A12,D12,G12)/SQRT(10)</f>
        <v>3.7478438245654451E-2</v>
      </c>
      <c r="O12" s="5">
        <f t="shared" si="4"/>
        <v>4.1061761280024598</v>
      </c>
    </row>
    <row r="13" spans="1:15" ht="15.75" thickBot="1" x14ac:dyDescent="0.3">
      <c r="A13" s="4">
        <v>12.564</v>
      </c>
      <c r="B13" s="66">
        <f t="shared" si="0"/>
        <v>82.76</v>
      </c>
      <c r="C13" s="66">
        <v>19.733333333333299</v>
      </c>
      <c r="D13" s="70">
        <v>12.818</v>
      </c>
      <c r="E13" s="66">
        <f t="shared" si="1"/>
        <v>84.453333333333333</v>
      </c>
      <c r="F13" s="58">
        <v>19.733333330000001</v>
      </c>
      <c r="G13" s="4">
        <v>12.655000000000001</v>
      </c>
      <c r="H13" s="66">
        <f t="shared" si="2"/>
        <v>83.366666666666674</v>
      </c>
      <c r="I13" s="5">
        <v>19.733333330000001</v>
      </c>
      <c r="J13" s="18">
        <f>I13/'0%'!$R$6</f>
        <v>0.22076668263068974</v>
      </c>
      <c r="L13" s="4">
        <f>AVERAGE(A13,D13,G13)</f>
        <v>12.679</v>
      </c>
      <c r="M13" s="66">
        <f t="shared" si="3"/>
        <v>1.2679</v>
      </c>
      <c r="N13" s="66">
        <f>_xlfn.STDEV.S(A13,D13,G13)/SQRT(10)</f>
        <v>4.0695208563171062E-2</v>
      </c>
      <c r="O13" s="5">
        <f t="shared" si="4"/>
        <v>3.2096544335650332</v>
      </c>
    </row>
    <row r="14" spans="1:15" ht="15.75" thickBot="1" x14ac:dyDescent="0.3">
      <c r="A14" s="4">
        <v>14.244</v>
      </c>
      <c r="B14" s="66">
        <f t="shared" si="0"/>
        <v>93.96</v>
      </c>
      <c r="C14" s="66">
        <v>23.95</v>
      </c>
      <c r="D14" s="70">
        <v>14.534000000000001</v>
      </c>
      <c r="E14" s="66">
        <f t="shared" si="1"/>
        <v>95.893333333333345</v>
      </c>
      <c r="F14" s="58">
        <v>23.95</v>
      </c>
      <c r="G14" s="4">
        <v>14.385</v>
      </c>
      <c r="H14" s="66">
        <f t="shared" si="2"/>
        <v>94.9</v>
      </c>
      <c r="I14" s="5">
        <v>23.95</v>
      </c>
      <c r="J14" s="18">
        <f>I14/'0%'!$R$6</f>
        <v>0.26794064442051457</v>
      </c>
      <c r="L14" s="4">
        <f>AVERAGE(A14,D14,G14)</f>
        <v>14.387666666666666</v>
      </c>
      <c r="M14" s="66">
        <f t="shared" si="3"/>
        <v>1.4387666666666665</v>
      </c>
      <c r="N14" s="66">
        <f>_xlfn.STDEV.S(A14,D14,G14)/SQRT(10)</f>
        <v>4.5858841386730943E-2</v>
      </c>
      <c r="O14" s="5">
        <f t="shared" si="4"/>
        <v>3.1873716877926195</v>
      </c>
    </row>
    <row r="15" spans="1:15" ht="15.75" thickBot="1" x14ac:dyDescent="0.3">
      <c r="A15" s="4">
        <v>15.445</v>
      </c>
      <c r="B15" s="66">
        <f t="shared" si="0"/>
        <v>101.96666666666667</v>
      </c>
      <c r="C15" s="66">
        <v>27.633333333333301</v>
      </c>
      <c r="D15" s="70">
        <v>15.752000000000001</v>
      </c>
      <c r="E15" s="66">
        <f t="shared" si="1"/>
        <v>104.01333333333334</v>
      </c>
      <c r="F15" s="58">
        <v>27.633333329999999</v>
      </c>
      <c r="G15" s="4">
        <v>15.594999999999999</v>
      </c>
      <c r="H15" s="66">
        <f t="shared" si="2"/>
        <v>102.96666666666665</v>
      </c>
      <c r="I15" s="5">
        <v>27.633333329999999</v>
      </c>
      <c r="J15" s="18">
        <f>I15/'0%'!$R$6</f>
        <v>0.30914793903662147</v>
      </c>
      <c r="L15" s="4">
        <f>AVERAGE(A15,D15,G15)</f>
        <v>15.597333333333333</v>
      </c>
      <c r="M15" s="66">
        <f t="shared" si="3"/>
        <v>1.5597333333333334</v>
      </c>
      <c r="N15" s="66">
        <f>_xlfn.STDEV.S(A15,D15,G15)/SQRT(10)</f>
        <v>4.8545167971007566E-2</v>
      </c>
      <c r="O15" s="5">
        <f t="shared" si="4"/>
        <v>3.1124017762229164</v>
      </c>
    </row>
    <row r="16" spans="1:15" ht="15.75" thickBot="1" x14ac:dyDescent="0.3">
      <c r="A16" s="4">
        <v>16.623000000000001</v>
      </c>
      <c r="B16" s="66">
        <f t="shared" si="0"/>
        <v>109.82000000000002</v>
      </c>
      <c r="C16" s="66">
        <v>32.1</v>
      </c>
      <c r="D16" s="70">
        <v>16.933</v>
      </c>
      <c r="E16" s="66">
        <f t="shared" si="1"/>
        <v>111.88666666666668</v>
      </c>
      <c r="F16" s="58">
        <v>32.1</v>
      </c>
      <c r="G16" s="4">
        <v>16.765000000000001</v>
      </c>
      <c r="H16" s="66">
        <f t="shared" si="2"/>
        <v>110.76666666666668</v>
      </c>
      <c r="I16" s="5">
        <v>32.1</v>
      </c>
      <c r="J16" s="18">
        <f>I16/'0%'!$R$6</f>
        <v>0.35911877602916575</v>
      </c>
      <c r="L16" s="4">
        <f>AVERAGE(A16,D16,G16)</f>
        <v>16.773666666666667</v>
      </c>
      <c r="M16" s="66">
        <f t="shared" si="3"/>
        <v>1.6773666666666667</v>
      </c>
      <c r="N16" s="66">
        <f>_xlfn.STDEV.S(A16,D16,G16)/SQRT(10)</f>
        <v>4.9072735131978469E-2</v>
      </c>
      <c r="O16" s="5">
        <f t="shared" si="4"/>
        <v>2.9255818722985518</v>
      </c>
    </row>
    <row r="17" spans="1:15" ht="15.75" thickBot="1" x14ac:dyDescent="0.3">
      <c r="A17" s="4">
        <v>17.658999999999999</v>
      </c>
      <c r="B17" s="66">
        <f t="shared" si="0"/>
        <v>116.72666666666667</v>
      </c>
      <c r="C17" s="66">
        <v>36.549999999999997</v>
      </c>
      <c r="D17" s="70">
        <v>17.814</v>
      </c>
      <c r="E17" s="66">
        <f t="shared" si="1"/>
        <v>117.76000000000002</v>
      </c>
      <c r="F17" s="58">
        <v>36.549999999999997</v>
      </c>
      <c r="G17" s="4">
        <v>17.729999999999997</v>
      </c>
      <c r="H17" s="66">
        <f t="shared" si="2"/>
        <v>117.19999999999999</v>
      </c>
      <c r="I17" s="5">
        <v>36.549999999999997</v>
      </c>
      <c r="J17" s="18">
        <f>I17/'0%'!$R$6</f>
        <v>0.40890315463757027</v>
      </c>
      <c r="L17" s="4">
        <f>AVERAGE(A17,D17,G17)</f>
        <v>17.734333333333332</v>
      </c>
      <c r="M17" s="66">
        <f t="shared" si="3"/>
        <v>1.7734333333333332</v>
      </c>
      <c r="N17" s="66">
        <f>_xlfn.STDEV.S(A17,D17,G17)/SQRT(10)</f>
        <v>2.4536367565989536E-2</v>
      </c>
      <c r="O17" s="5">
        <f t="shared" si="4"/>
        <v>1.3835517301274103</v>
      </c>
    </row>
    <row r="18" spans="1:15" ht="15.75" thickBot="1" x14ac:dyDescent="0.3">
      <c r="A18" s="4">
        <v>18.611999999999998</v>
      </c>
      <c r="B18" s="66">
        <f t="shared" si="0"/>
        <v>123.08</v>
      </c>
      <c r="C18" s="66">
        <v>45.766666666666602</v>
      </c>
      <c r="D18" s="70">
        <v>18.821999999999999</v>
      </c>
      <c r="E18" s="66">
        <f t="shared" si="1"/>
        <v>124.48</v>
      </c>
      <c r="F18" s="58">
        <v>45.766666669999999</v>
      </c>
      <c r="G18" s="4">
        <v>18.704999999999998</v>
      </c>
      <c r="H18" s="66">
        <f t="shared" si="2"/>
        <v>123.7</v>
      </c>
      <c r="I18" s="5">
        <v>45.766666669999999</v>
      </c>
      <c r="J18" s="18">
        <f>I18/'0%'!$R$6</f>
        <v>0.51201462048178237</v>
      </c>
      <c r="L18" s="4">
        <f>AVERAGE(A18,D18,G18)</f>
        <v>18.712999999999997</v>
      </c>
      <c r="M18" s="66">
        <f t="shared" si="3"/>
        <v>1.8712999999999997</v>
      </c>
      <c r="N18" s="66">
        <f>_xlfn.STDEV.S(A18,D18,G18)/SQRT(10)</f>
        <v>3.3276117561999462E-2</v>
      </c>
      <c r="O18" s="5">
        <f t="shared" si="4"/>
        <v>1.7782353210067583</v>
      </c>
    </row>
    <row r="19" spans="1:15" ht="15.75" thickBot="1" x14ac:dyDescent="0.3">
      <c r="A19" s="4">
        <v>19.021999999999998</v>
      </c>
      <c r="B19" s="66">
        <f t="shared" si="0"/>
        <v>125.81333333333333</v>
      </c>
      <c r="C19" s="74">
        <v>52.266666669999999</v>
      </c>
      <c r="D19" s="70">
        <v>19.120999999999999</v>
      </c>
      <c r="E19" s="66">
        <f t="shared" si="1"/>
        <v>126.47333333333334</v>
      </c>
      <c r="F19" s="58">
        <v>52.266666669999999</v>
      </c>
      <c r="G19" s="4">
        <v>19.061</v>
      </c>
      <c r="H19" s="66">
        <f t="shared" si="2"/>
        <v>126.07333333333335</v>
      </c>
      <c r="I19" s="5">
        <v>52.266666669999999</v>
      </c>
      <c r="J19" s="18">
        <f>I19/'0%'!$R$6</f>
        <v>0.58473337575248563</v>
      </c>
      <c r="L19" s="4">
        <f>AVERAGE(A19,D19,G19)</f>
        <v>19.068000000000001</v>
      </c>
      <c r="M19" s="66">
        <f t="shared" si="3"/>
        <v>1.9068000000000001</v>
      </c>
      <c r="N19" s="66">
        <f>_xlfn.STDEV.S(A19,D19,G19)/SQRT(10)</f>
        <v>1.5770225109363531E-2</v>
      </c>
      <c r="O19" s="5">
        <f t="shared" si="4"/>
        <v>0.82705187273775604</v>
      </c>
    </row>
    <row r="20" spans="1:15" ht="15.75" thickBot="1" x14ac:dyDescent="0.3">
      <c r="A20" s="4">
        <v>19.181999999999999</v>
      </c>
      <c r="B20" s="66">
        <f t="shared" si="0"/>
        <v>126.88000000000001</v>
      </c>
      <c r="C20" s="74">
        <v>60.583333330000002</v>
      </c>
      <c r="D20" s="70">
        <v>19.382000000000001</v>
      </c>
      <c r="E20" s="66">
        <f t="shared" si="1"/>
        <v>128.21333333333337</v>
      </c>
      <c r="F20" s="58">
        <v>60.583333330000002</v>
      </c>
      <c r="G20" s="4">
        <v>19.282</v>
      </c>
      <c r="H20" s="66">
        <f t="shared" si="2"/>
        <v>127.54666666666668</v>
      </c>
      <c r="I20" s="5">
        <v>60.583333330000002</v>
      </c>
      <c r="J20" s="18">
        <f>I20/'0%'!$R$6</f>
        <v>0.67777609075503309</v>
      </c>
      <c r="L20" s="4">
        <f>AVERAGE(A20,D20,G20)</f>
        <v>19.282</v>
      </c>
      <c r="M20" s="66">
        <f t="shared" si="3"/>
        <v>1.9281999999999999</v>
      </c>
      <c r="N20" s="66">
        <f>_xlfn.STDEV.S(A20,D20,G20)/SQRT(10)</f>
        <v>3.1622776601684242E-2</v>
      </c>
      <c r="O20" s="5">
        <f t="shared" si="4"/>
        <v>1.640015382309109</v>
      </c>
    </row>
    <row r="21" spans="1:15" ht="15.75" thickBot="1" x14ac:dyDescent="0.3">
      <c r="A21" s="4">
        <v>19.201000000000001</v>
      </c>
      <c r="B21" s="66">
        <f t="shared" si="0"/>
        <v>127.00666666666669</v>
      </c>
      <c r="C21" s="74">
        <v>69.433333329999996</v>
      </c>
      <c r="D21" s="70">
        <v>19.41</v>
      </c>
      <c r="E21" s="66">
        <f t="shared" si="1"/>
        <v>128.4</v>
      </c>
      <c r="F21" s="58">
        <v>69.433333329999996</v>
      </c>
      <c r="G21" s="4">
        <v>19.305</v>
      </c>
      <c r="H21" s="66">
        <f t="shared" si="2"/>
        <v>127.70000000000002</v>
      </c>
      <c r="I21" s="5">
        <v>69.433333329999996</v>
      </c>
      <c r="J21" s="18">
        <f>I21/'0%'!$R$6</f>
        <v>0.77678547293129829</v>
      </c>
      <c r="L21" s="4">
        <f>AVERAGE(A21,D21,G21)</f>
        <v>19.305333333333333</v>
      </c>
      <c r="M21" s="66">
        <f t="shared" si="3"/>
        <v>1.9305333333333334</v>
      </c>
      <c r="N21" s="66">
        <f>_xlfn.STDEV.S(A21,D21,G21)/SQRT(10)</f>
        <v>3.3045927636144959E-2</v>
      </c>
      <c r="O21" s="5">
        <f t="shared" si="4"/>
        <v>1.711751207066007</v>
      </c>
    </row>
    <row r="22" spans="1:15" ht="15.75" thickBot="1" x14ac:dyDescent="0.3">
      <c r="A22" s="4">
        <v>19.201000000000001</v>
      </c>
      <c r="B22" s="66">
        <f t="shared" si="0"/>
        <v>127.00666666666669</v>
      </c>
      <c r="C22" s="74">
        <v>81.3</v>
      </c>
      <c r="D22" s="70">
        <v>19.41</v>
      </c>
      <c r="E22" s="66">
        <f t="shared" si="1"/>
        <v>128.4</v>
      </c>
      <c r="F22" s="58">
        <v>81.3</v>
      </c>
      <c r="G22" s="4">
        <v>19.305</v>
      </c>
      <c r="H22" s="66">
        <f t="shared" si="2"/>
        <v>127.70000000000002</v>
      </c>
      <c r="I22" s="5">
        <v>81.3</v>
      </c>
      <c r="J22" s="18">
        <f>I22/'0%'!$R$6</f>
        <v>0.90954381592433553</v>
      </c>
      <c r="L22" s="4">
        <f>AVERAGE(A22,D22,G22)</f>
        <v>19.305333333333333</v>
      </c>
      <c r="M22" s="66">
        <f t="shared" si="3"/>
        <v>1.9305333333333334</v>
      </c>
      <c r="N22" s="66">
        <f>_xlfn.STDEV.S(A22,D22,G22)/SQRT(10)</f>
        <v>3.3045927636144959E-2</v>
      </c>
      <c r="O22" s="5">
        <f t="shared" si="4"/>
        <v>1.711751207066007</v>
      </c>
    </row>
    <row r="23" spans="1:15" ht="15.75" thickBot="1" x14ac:dyDescent="0.3">
      <c r="A23" s="4">
        <v>19.201000000000001</v>
      </c>
      <c r="B23" s="66">
        <f t="shared" si="0"/>
        <v>127.00666666666669</v>
      </c>
      <c r="C23" s="74">
        <v>101.6833333</v>
      </c>
      <c r="D23" s="70">
        <v>19.41</v>
      </c>
      <c r="E23" s="66">
        <f t="shared" si="1"/>
        <v>128.4</v>
      </c>
      <c r="F23" s="58">
        <v>101.6833333</v>
      </c>
      <c r="G23" s="4">
        <v>19.305</v>
      </c>
      <c r="H23" s="66">
        <f t="shared" si="2"/>
        <v>127.70000000000002</v>
      </c>
      <c r="I23" s="5">
        <v>101.6833333</v>
      </c>
      <c r="J23" s="18">
        <f>I23/'0%'!$R$6</f>
        <v>1.1375823737464708</v>
      </c>
      <c r="L23" s="4">
        <f>AVERAGE(A23,D23,G23)</f>
        <v>19.305333333333333</v>
      </c>
      <c r="M23" s="66">
        <f t="shared" si="3"/>
        <v>1.9305333333333334</v>
      </c>
      <c r="N23" s="66">
        <f>_xlfn.STDEV.S(A23,D23,G23)/SQRT(10)</f>
        <v>3.3045927636144959E-2</v>
      </c>
      <c r="O23" s="5">
        <f t="shared" si="4"/>
        <v>1.711751207066007</v>
      </c>
    </row>
    <row r="24" spans="1:15" ht="15.75" thickBot="1" x14ac:dyDescent="0.3">
      <c r="A24" s="10">
        <v>19.201000000000001</v>
      </c>
      <c r="B24" s="11">
        <f t="shared" si="0"/>
        <v>127.00666666666669</v>
      </c>
      <c r="C24" s="11">
        <v>128.28333333333299</v>
      </c>
      <c r="D24" s="72">
        <v>19.41</v>
      </c>
      <c r="E24" s="11">
        <f t="shared" si="1"/>
        <v>128.4</v>
      </c>
      <c r="F24" s="61">
        <v>128.28333330000001</v>
      </c>
      <c r="G24" s="10">
        <v>19.305</v>
      </c>
      <c r="H24" s="11">
        <f t="shared" si="2"/>
        <v>127.70000000000002</v>
      </c>
      <c r="I24" s="12">
        <v>128.28333330000001</v>
      </c>
      <c r="J24" s="19">
        <f>I24/'0%'!$R$6</f>
        <v>1.4351698953158105</v>
      </c>
      <c r="L24" s="10">
        <f>AVERAGE(A24,D24,G24)</f>
        <v>19.305333333333333</v>
      </c>
      <c r="M24" s="11">
        <f t="shared" si="3"/>
        <v>1.9305333333333334</v>
      </c>
      <c r="N24" s="11">
        <f>_xlfn.STDEV.S(A24,D24,G24)/SQRT(10)</f>
        <v>3.3045927636144959E-2</v>
      </c>
      <c r="O24" s="12">
        <f t="shared" si="4"/>
        <v>1.711751207066007</v>
      </c>
    </row>
  </sheetData>
  <mergeCells count="1">
    <mergeCell ref="L2:O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:U41"/>
  <sheetViews>
    <sheetView topLeftCell="J1" workbookViewId="0">
      <selection activeCell="O3" sqref="O3:P17"/>
    </sheetView>
  </sheetViews>
  <sheetFormatPr baseColWidth="10" defaultRowHeight="15" x14ac:dyDescent="0.25"/>
  <cols>
    <col min="14" max="14" width="11.85546875" bestFit="1" customWidth="1"/>
  </cols>
  <sheetData>
    <row r="1" spans="4:21" ht="15.75" thickBot="1" x14ac:dyDescent="0.3"/>
    <row r="2" spans="4:21" ht="15.75" thickBot="1" x14ac:dyDescent="0.3">
      <c r="R2" s="47" t="s">
        <v>6</v>
      </c>
      <c r="S2" s="48"/>
      <c r="T2" s="48"/>
      <c r="U2" s="49"/>
    </row>
    <row r="3" spans="4:21" ht="15.75" thickBot="1" x14ac:dyDescent="0.3">
      <c r="D3" s="89" t="s">
        <v>6</v>
      </c>
      <c r="E3" s="90" t="s">
        <v>10</v>
      </c>
      <c r="F3" s="90" t="s">
        <v>7</v>
      </c>
      <c r="G3" s="91" t="s">
        <v>8</v>
      </c>
      <c r="H3" s="89" t="s">
        <v>6</v>
      </c>
      <c r="I3" s="90" t="s">
        <v>10</v>
      </c>
      <c r="J3" s="90" t="s">
        <v>7</v>
      </c>
      <c r="K3" s="91" t="s">
        <v>8</v>
      </c>
      <c r="L3" s="89" t="s">
        <v>6</v>
      </c>
      <c r="M3" s="90" t="s">
        <v>10</v>
      </c>
      <c r="N3" s="90" t="s">
        <v>7</v>
      </c>
      <c r="O3" s="91" t="s">
        <v>8</v>
      </c>
      <c r="P3" s="92" t="s">
        <v>11</v>
      </c>
      <c r="R3" s="23" t="s">
        <v>3</v>
      </c>
      <c r="S3" s="24" t="s">
        <v>18</v>
      </c>
      <c r="T3" s="24" t="s">
        <v>17</v>
      </c>
      <c r="U3" s="26" t="s">
        <v>0</v>
      </c>
    </row>
    <row r="4" spans="4:21" x14ac:dyDescent="0.25">
      <c r="D4" s="1">
        <v>0.15</v>
      </c>
      <c r="E4" s="2">
        <f>(D4-$D$4)/$D$4</f>
        <v>0</v>
      </c>
      <c r="F4" s="2">
        <f>D4/10</f>
        <v>1.4999999999999999E-2</v>
      </c>
      <c r="G4" s="3">
        <v>0</v>
      </c>
      <c r="H4" s="1">
        <v>0.15</v>
      </c>
      <c r="I4" s="2">
        <f>(H4-$D$4)/$D$4</f>
        <v>0</v>
      </c>
      <c r="J4" s="2">
        <f>H4/10</f>
        <v>1.4999999999999999E-2</v>
      </c>
      <c r="K4" s="3">
        <v>0</v>
      </c>
      <c r="L4" s="1">
        <v>0.15</v>
      </c>
      <c r="M4" s="2">
        <f>(L4-$D$4)/$D$4</f>
        <v>0</v>
      </c>
      <c r="N4" s="2">
        <f>L4/10</f>
        <v>1.4999999999999999E-2</v>
      </c>
      <c r="O4" s="3">
        <v>0</v>
      </c>
      <c r="P4" s="18">
        <f>O4/'0%'!$R$7</f>
        <v>0</v>
      </c>
      <c r="R4" s="1">
        <f>_xlfn.STDEV.S(D4,H4,L4)/SQRT(10)</f>
        <v>0</v>
      </c>
      <c r="S4" s="2">
        <f>T4/10</f>
        <v>1.4999999999999999E-2</v>
      </c>
      <c r="T4" s="2">
        <f>AVERAGE(D4,H4,L4)</f>
        <v>0.15</v>
      </c>
      <c r="U4" s="3">
        <v>0</v>
      </c>
    </row>
    <row r="5" spans="4:21" x14ac:dyDescent="0.25">
      <c r="D5" s="4">
        <v>0.89900000000000002</v>
      </c>
      <c r="E5">
        <f t="shared" ref="E5:E17" si="0">(D5-$D$4)/$D$4</f>
        <v>4.9933333333333332</v>
      </c>
      <c r="F5">
        <f t="shared" ref="F5:F17" si="1">D5/10</f>
        <v>8.9900000000000008E-2</v>
      </c>
      <c r="G5" s="5">
        <v>1.81667</v>
      </c>
      <c r="H5" s="4">
        <v>0.85499999999999998</v>
      </c>
      <c r="I5">
        <f t="shared" ref="I5:I17" si="2">(H5-$D$4)/$D$4</f>
        <v>4.7</v>
      </c>
      <c r="J5">
        <f>H5/10</f>
        <v>8.5499999999999993E-2</v>
      </c>
      <c r="K5" s="5">
        <v>1.81667</v>
      </c>
      <c r="L5" s="4">
        <v>0.84299999999999997</v>
      </c>
      <c r="M5">
        <f t="shared" ref="M5:M17" si="3">(L5-$D$4)/$D$4</f>
        <v>4.62</v>
      </c>
      <c r="N5">
        <f t="shared" ref="N5:N17" si="4">L5/10</f>
        <v>8.43E-2</v>
      </c>
      <c r="O5" s="5">
        <v>1.81667</v>
      </c>
      <c r="P5" s="18">
        <f>O5/'0%'!$R$7</f>
        <v>1.1218994748493165E-2</v>
      </c>
      <c r="R5" s="4">
        <f>_xlfn.STDEV.S(D5,H5,L5)/SQRT(10)</f>
        <v>9.3238046597584542E-3</v>
      </c>
      <c r="S5">
        <f t="shared" ref="S5:S17" si="5">T5/10</f>
        <v>8.6566666666666667E-2</v>
      </c>
      <c r="T5">
        <f>AVERAGE(D5,H5,L5)</f>
        <v>0.8656666666666667</v>
      </c>
      <c r="U5" s="5">
        <f t="shared" ref="U5:U17" si="6">R5/S5*100</f>
        <v>10.770663834915426</v>
      </c>
    </row>
    <row r="6" spans="4:21" x14ac:dyDescent="0.25">
      <c r="D6" s="4">
        <v>1.3320000000000001</v>
      </c>
      <c r="E6">
        <f t="shared" si="0"/>
        <v>7.8800000000000017</v>
      </c>
      <c r="F6">
        <f t="shared" si="1"/>
        <v>0.13320000000000001</v>
      </c>
      <c r="G6" s="5">
        <v>3.1333299999999999</v>
      </c>
      <c r="H6" s="4">
        <v>1.4330000000000001</v>
      </c>
      <c r="I6">
        <f t="shared" si="2"/>
        <v>8.5533333333333346</v>
      </c>
      <c r="K6" s="5">
        <v>3.1333299999999999</v>
      </c>
      <c r="L6" s="4">
        <v>1.3360000000000001</v>
      </c>
      <c r="M6">
        <f t="shared" si="3"/>
        <v>7.9066666666666681</v>
      </c>
      <c r="O6" s="5">
        <v>3.1333299999999999</v>
      </c>
      <c r="P6" s="18">
        <f>O6/'0%'!$R$7</f>
        <v>1.9350136687068146E-2</v>
      </c>
      <c r="R6" s="4">
        <f>_xlfn.STDEV.S(D6,H6,L6)/SQRT(10)</f>
        <v>1.808590611498356E-2</v>
      </c>
      <c r="S6">
        <f t="shared" si="5"/>
        <v>0.13669999999999999</v>
      </c>
      <c r="T6">
        <f>AVERAGE(D6,H6,L6)</f>
        <v>1.367</v>
      </c>
      <c r="U6" s="5">
        <f t="shared" si="6"/>
        <v>13.230362922445913</v>
      </c>
    </row>
    <row r="7" spans="4:21" x14ac:dyDescent="0.25">
      <c r="D7" s="4">
        <v>2.0099999999999998</v>
      </c>
      <c r="E7">
        <f t="shared" si="0"/>
        <v>12.4</v>
      </c>
      <c r="F7">
        <f t="shared" si="1"/>
        <v>0.20099999999999998</v>
      </c>
      <c r="G7" s="5">
        <v>4.9666699999999997</v>
      </c>
      <c r="H7" s="4">
        <v>2.222</v>
      </c>
      <c r="I7">
        <f t="shared" si="2"/>
        <v>13.813333333333334</v>
      </c>
      <c r="K7" s="5">
        <v>4.9666699999999997</v>
      </c>
      <c r="L7" s="4">
        <v>1.988</v>
      </c>
      <c r="M7">
        <f t="shared" si="3"/>
        <v>12.253333333333334</v>
      </c>
      <c r="O7" s="5">
        <v>4.9666699999999997</v>
      </c>
      <c r="P7" s="18">
        <f>O7/'0%'!$R$7</f>
        <v>3.0672078389304906E-2</v>
      </c>
      <c r="R7" s="4">
        <f>_xlfn.STDEV.S(D7,H7,L7)/SQRT(10)</f>
        <v>4.0862370627917984E-2</v>
      </c>
      <c r="S7">
        <f t="shared" si="5"/>
        <v>0.20733333333333329</v>
      </c>
      <c r="T7">
        <f>AVERAGE(D7,H7,L7)</f>
        <v>2.0733333333333328</v>
      </c>
      <c r="U7" s="5">
        <f t="shared" si="6"/>
        <v>19.708538888063341</v>
      </c>
    </row>
    <row r="8" spans="4:21" x14ac:dyDescent="0.25">
      <c r="D8" s="4">
        <v>4.0330000000000004</v>
      </c>
      <c r="E8">
        <f t="shared" si="0"/>
        <v>25.88666666666667</v>
      </c>
      <c r="F8">
        <f t="shared" si="1"/>
        <v>0.40330000000000005</v>
      </c>
      <c r="G8" s="5">
        <v>10</v>
      </c>
      <c r="H8" s="4">
        <v>4.1230000000000002</v>
      </c>
      <c r="I8">
        <f t="shared" si="2"/>
        <v>26.486666666666668</v>
      </c>
      <c r="J8">
        <f t="shared" ref="J8:J17" si="7">H8/10</f>
        <v>0.4123</v>
      </c>
      <c r="K8" s="5">
        <v>10</v>
      </c>
      <c r="L8" s="4">
        <v>4.22</v>
      </c>
      <c r="M8">
        <f t="shared" si="3"/>
        <v>27.133333333333329</v>
      </c>
      <c r="N8">
        <f t="shared" si="4"/>
        <v>0.42199999999999999</v>
      </c>
      <c r="O8" s="5">
        <v>10</v>
      </c>
      <c r="P8" s="18">
        <f>O8/'0%'!$R$7</f>
        <v>6.1755821081942039E-2</v>
      </c>
      <c r="R8" s="4">
        <f>_xlfn.STDEV.S(D8,H8,L8)/SQRT(10)</f>
        <v>2.9574200468200782E-2</v>
      </c>
      <c r="S8">
        <f t="shared" si="5"/>
        <v>0.41253333333333336</v>
      </c>
      <c r="T8">
        <f>AVERAGE(D8,H8,L8)</f>
        <v>4.1253333333333337</v>
      </c>
      <c r="U8" s="5">
        <f t="shared" si="6"/>
        <v>7.1689238368295367</v>
      </c>
    </row>
    <row r="9" spans="4:21" x14ac:dyDescent="0.25">
      <c r="D9" s="4">
        <v>5.6769999999999996</v>
      </c>
      <c r="E9">
        <f t="shared" si="0"/>
        <v>36.846666666666664</v>
      </c>
      <c r="F9">
        <f t="shared" si="1"/>
        <v>0.56769999999999998</v>
      </c>
      <c r="G9" s="5">
        <v>15</v>
      </c>
      <c r="H9" s="4">
        <v>5.7030000000000003</v>
      </c>
      <c r="I9">
        <f t="shared" si="2"/>
        <v>37.020000000000003</v>
      </c>
      <c r="K9" s="5">
        <v>15</v>
      </c>
      <c r="L9" s="4">
        <v>5.8620000000000001</v>
      </c>
      <c r="M9">
        <f t="shared" si="3"/>
        <v>38.08</v>
      </c>
      <c r="O9" s="5">
        <v>15</v>
      </c>
      <c r="P9" s="18">
        <f>O9/'0%'!$R$7</f>
        <v>9.2633731622913065E-2</v>
      </c>
      <c r="R9" s="4">
        <f>_xlfn.STDEV.S(D9,H9,L9)/SQRT(10)</f>
        <v>3.1670701497335606E-2</v>
      </c>
      <c r="S9">
        <f t="shared" si="5"/>
        <v>0.57473333333333332</v>
      </c>
      <c r="T9">
        <f>AVERAGE(D9,H9,L9)</f>
        <v>5.7473333333333327</v>
      </c>
      <c r="U9" s="5">
        <f t="shared" si="6"/>
        <v>5.5105036824038294</v>
      </c>
    </row>
    <row r="10" spans="4:21" x14ac:dyDescent="0.25">
      <c r="D10" s="4">
        <v>8.07</v>
      </c>
      <c r="E10">
        <f t="shared" si="0"/>
        <v>52.800000000000004</v>
      </c>
      <c r="F10">
        <f t="shared" si="1"/>
        <v>0.80700000000000005</v>
      </c>
      <c r="G10" s="5">
        <v>24.066700000000001</v>
      </c>
      <c r="H10" s="4">
        <v>8.26</v>
      </c>
      <c r="I10">
        <f t="shared" si="2"/>
        <v>54.066666666666663</v>
      </c>
      <c r="J10">
        <f t="shared" si="7"/>
        <v>0.82599999999999996</v>
      </c>
      <c r="K10" s="5">
        <v>24.066700000000001</v>
      </c>
      <c r="L10" s="4">
        <v>8.1999999999999993</v>
      </c>
      <c r="M10">
        <f t="shared" si="3"/>
        <v>53.666666666666664</v>
      </c>
      <c r="N10">
        <f t="shared" si="4"/>
        <v>0.82</v>
      </c>
      <c r="O10" s="5">
        <v>24.066700000000001</v>
      </c>
      <c r="P10" s="18">
        <f>O10/'0%'!$R$7</f>
        <v>0.14862588192327747</v>
      </c>
      <c r="R10" s="4">
        <f>_xlfn.STDEV.S(D10,H10,L10)/SQRT(10)</f>
        <v>3.0713731999438408E-2</v>
      </c>
      <c r="S10">
        <f t="shared" si="5"/>
        <v>0.81766666666666654</v>
      </c>
      <c r="T10">
        <f>AVERAGE(D10,H10,L10)</f>
        <v>8.1766666666666659</v>
      </c>
      <c r="U10" s="5">
        <f t="shared" si="6"/>
        <v>3.7562656338489702</v>
      </c>
    </row>
    <row r="11" spans="4:21" x14ac:dyDescent="0.25">
      <c r="D11" s="4">
        <v>9.5229999999999997</v>
      </c>
      <c r="E11">
        <f t="shared" si="0"/>
        <v>62.486666666666665</v>
      </c>
      <c r="F11">
        <f t="shared" si="1"/>
        <v>0.95229999999999992</v>
      </c>
      <c r="G11" s="5">
        <v>28.8</v>
      </c>
      <c r="H11" s="4">
        <v>9.5519999999999996</v>
      </c>
      <c r="I11">
        <f t="shared" si="2"/>
        <v>62.68</v>
      </c>
      <c r="K11" s="5">
        <v>28.8</v>
      </c>
      <c r="L11" s="4">
        <v>9.6649999999999991</v>
      </c>
      <c r="M11">
        <f t="shared" si="3"/>
        <v>63.43333333333333</v>
      </c>
      <c r="O11" s="5">
        <v>28.8</v>
      </c>
      <c r="P11" s="18">
        <f>O11/'0%'!$R$7</f>
        <v>0.17785676471599307</v>
      </c>
      <c r="R11" s="4">
        <f>_xlfn.STDEV.S(D11,H11,L11)/SQRT(10)</f>
        <v>2.3725513693068811E-2</v>
      </c>
      <c r="S11">
        <f t="shared" si="5"/>
        <v>0.95799999999999996</v>
      </c>
      <c r="T11">
        <f>AVERAGE(D11,H11,L11)</f>
        <v>9.58</v>
      </c>
      <c r="U11" s="5">
        <f t="shared" si="6"/>
        <v>2.4765671913433001</v>
      </c>
    </row>
    <row r="12" spans="4:21" x14ac:dyDescent="0.25">
      <c r="D12" s="4">
        <v>13.88</v>
      </c>
      <c r="E12">
        <f t="shared" si="0"/>
        <v>91.533333333333346</v>
      </c>
      <c r="F12">
        <f t="shared" si="1"/>
        <v>1.3880000000000001</v>
      </c>
      <c r="G12" s="5">
        <v>47.916699999999999</v>
      </c>
      <c r="H12" s="4">
        <v>14.122</v>
      </c>
      <c r="I12">
        <f t="shared" si="2"/>
        <v>93.146666666666661</v>
      </c>
      <c r="J12">
        <f t="shared" si="7"/>
        <v>1.4121999999999999</v>
      </c>
      <c r="K12" s="5">
        <v>47.916699999999999</v>
      </c>
      <c r="L12" s="4">
        <v>14.233000000000001</v>
      </c>
      <c r="M12">
        <f t="shared" si="3"/>
        <v>93.88666666666667</v>
      </c>
      <c r="N12">
        <f t="shared" ref="N12" si="8">L12/10</f>
        <v>1.4233</v>
      </c>
      <c r="O12" s="5">
        <v>47.916699999999999</v>
      </c>
      <c r="P12" s="18">
        <f>O12/'0%'!$R$7</f>
        <v>0.29591351520370923</v>
      </c>
      <c r="R12" s="4">
        <f>_xlfn.STDEV.S(D12,H12,L12)/SQRT(10)</f>
        <v>5.7080936689347744E-2</v>
      </c>
      <c r="S12">
        <f t="shared" si="5"/>
        <v>1.4078333333333333</v>
      </c>
      <c r="T12">
        <f>AVERAGE(D12,H12,L12)</f>
        <v>14.078333333333333</v>
      </c>
      <c r="U12" s="5">
        <f t="shared" si="6"/>
        <v>4.05452373784878</v>
      </c>
    </row>
    <row r="13" spans="4:21" x14ac:dyDescent="0.25">
      <c r="D13" s="4">
        <v>15.686</v>
      </c>
      <c r="E13">
        <f t="shared" si="0"/>
        <v>103.57333333333334</v>
      </c>
      <c r="F13">
        <f t="shared" si="1"/>
        <v>1.5686</v>
      </c>
      <c r="G13" s="5">
        <v>54.533299999999997</v>
      </c>
      <c r="H13" s="4">
        <v>15.833</v>
      </c>
      <c r="I13">
        <f t="shared" si="2"/>
        <v>104.55333333333334</v>
      </c>
      <c r="K13" s="5">
        <v>54.533299999999997</v>
      </c>
      <c r="L13" s="4">
        <v>15.865</v>
      </c>
      <c r="M13">
        <f t="shared" si="3"/>
        <v>104.76666666666667</v>
      </c>
      <c r="O13" s="5">
        <v>54.533299999999997</v>
      </c>
      <c r="P13" s="18">
        <f>O13/'0%'!$R$7</f>
        <v>0.33677487178078697</v>
      </c>
      <c r="R13" s="4">
        <f>_xlfn.STDEV.S(D13,H13,L13)/SQRT(10)</f>
        <v>3.0186641637209927E-2</v>
      </c>
      <c r="S13">
        <f t="shared" si="5"/>
        <v>1.5794666666666666</v>
      </c>
      <c r="T13">
        <f>AVERAGE(D13,H13,L13)</f>
        <v>15.794666666666666</v>
      </c>
      <c r="U13" s="5">
        <f t="shared" si="6"/>
        <v>1.9111920671878648</v>
      </c>
    </row>
    <row r="14" spans="4:21" x14ac:dyDescent="0.25">
      <c r="D14" s="4">
        <v>17.456</v>
      </c>
      <c r="E14">
        <f t="shared" si="0"/>
        <v>115.37333333333335</v>
      </c>
      <c r="F14">
        <f t="shared" si="1"/>
        <v>1.7456</v>
      </c>
      <c r="G14" s="5">
        <v>72.183300000000003</v>
      </c>
      <c r="H14" s="4">
        <v>17.556000000000001</v>
      </c>
      <c r="I14">
        <f t="shared" si="2"/>
        <v>116.04000000000002</v>
      </c>
      <c r="J14">
        <f t="shared" si="7"/>
        <v>1.7556</v>
      </c>
      <c r="K14" s="5">
        <v>72.183300000000003</v>
      </c>
      <c r="L14" s="4">
        <v>17.974</v>
      </c>
      <c r="M14">
        <f t="shared" si="3"/>
        <v>118.82666666666668</v>
      </c>
      <c r="N14">
        <f t="shared" si="4"/>
        <v>1.7974000000000001</v>
      </c>
      <c r="O14" s="5">
        <v>72.183300000000003</v>
      </c>
      <c r="P14" s="18">
        <f>O14/'0%'!$R$7</f>
        <v>0.44577389599041473</v>
      </c>
      <c r="R14" s="4">
        <f>_xlfn.STDEV.S(D14,H14,L14)/SQRT(10)</f>
        <v>8.6895339345674949E-2</v>
      </c>
      <c r="S14">
        <f t="shared" si="5"/>
        <v>1.7662000000000002</v>
      </c>
      <c r="T14">
        <f>AVERAGE(D14,H14,L14)</f>
        <v>17.662000000000003</v>
      </c>
      <c r="U14" s="5">
        <f t="shared" si="6"/>
        <v>4.9199037111128376</v>
      </c>
    </row>
    <row r="15" spans="4:21" x14ac:dyDescent="0.25">
      <c r="D15" s="4">
        <v>18.111999999999998</v>
      </c>
      <c r="E15">
        <f t="shared" si="0"/>
        <v>119.74666666666667</v>
      </c>
      <c r="F15">
        <f t="shared" si="1"/>
        <v>1.8111999999999999</v>
      </c>
      <c r="G15" s="5">
        <v>77.583299999999895</v>
      </c>
      <c r="H15" s="4">
        <v>18.253</v>
      </c>
      <c r="I15">
        <f t="shared" si="2"/>
        <v>120.68666666666668</v>
      </c>
      <c r="J15">
        <f t="shared" si="7"/>
        <v>1.8252999999999999</v>
      </c>
      <c r="K15" s="5">
        <v>77.583299999999895</v>
      </c>
      <c r="L15" s="4">
        <v>18.925000000000001</v>
      </c>
      <c r="M15">
        <f t="shared" si="3"/>
        <v>125.16666666666669</v>
      </c>
      <c r="N15">
        <f t="shared" si="4"/>
        <v>1.8925000000000001</v>
      </c>
      <c r="O15" s="5">
        <v>77.583299999999895</v>
      </c>
      <c r="P15" s="18">
        <f>O15/'0%'!$R$7</f>
        <v>0.47912203937466274</v>
      </c>
      <c r="R15" s="4">
        <f>_xlfn.STDEV.S(D15,H15,L15)/SQRT(10)</f>
        <v>0.13738231327212425</v>
      </c>
      <c r="S15">
        <f t="shared" si="5"/>
        <v>1.8429999999999995</v>
      </c>
      <c r="T15">
        <f>AVERAGE(D15,H15,L15)</f>
        <v>18.429999999999996</v>
      </c>
      <c r="U15" s="5">
        <f t="shared" si="6"/>
        <v>7.4542763576844431</v>
      </c>
    </row>
    <row r="16" spans="4:21" x14ac:dyDescent="0.25">
      <c r="D16" s="4">
        <v>18.456</v>
      </c>
      <c r="E16">
        <f t="shared" si="0"/>
        <v>122.04</v>
      </c>
      <c r="F16">
        <f t="shared" si="1"/>
        <v>1.8455999999999999</v>
      </c>
      <c r="G16" s="5">
        <v>99.55</v>
      </c>
      <c r="H16" s="4">
        <v>18.866</v>
      </c>
      <c r="I16">
        <f t="shared" si="2"/>
        <v>124.77333333333334</v>
      </c>
      <c r="J16">
        <f t="shared" si="7"/>
        <v>1.8866000000000001</v>
      </c>
      <c r="K16" s="5">
        <v>99.55</v>
      </c>
      <c r="L16" s="4">
        <v>19.141999999999999</v>
      </c>
      <c r="M16">
        <f t="shared" si="3"/>
        <v>126.61333333333334</v>
      </c>
      <c r="N16">
        <f t="shared" si="4"/>
        <v>1.9141999999999999</v>
      </c>
      <c r="O16" s="5">
        <v>99.55</v>
      </c>
      <c r="P16" s="18">
        <f>O16/'0%'!$R$7</f>
        <v>0.61477919887073296</v>
      </c>
      <c r="R16" s="4">
        <f>_xlfn.STDEV.S(D16,H16,L16)/SQRT(10)</f>
        <v>0.10915371424433221</v>
      </c>
      <c r="S16">
        <f t="shared" si="5"/>
        <v>1.8821333333333332</v>
      </c>
      <c r="T16">
        <f>AVERAGE(D16,H16,L16)</f>
        <v>18.821333333333332</v>
      </c>
      <c r="U16" s="5">
        <f t="shared" si="6"/>
        <v>5.7994676737920914</v>
      </c>
    </row>
    <row r="17" spans="3:21" ht="15.75" thickBot="1" x14ac:dyDescent="0.3">
      <c r="D17" s="10">
        <v>18.72</v>
      </c>
      <c r="E17" s="11">
        <f t="shared" si="0"/>
        <v>123.80000000000001</v>
      </c>
      <c r="F17" s="11">
        <f t="shared" si="1"/>
        <v>1.8719999999999999</v>
      </c>
      <c r="G17" s="12">
        <v>168.28299999999999</v>
      </c>
      <c r="H17" s="10">
        <v>19.323</v>
      </c>
      <c r="I17" s="11">
        <f t="shared" si="2"/>
        <v>127.82000000000002</v>
      </c>
      <c r="J17" s="11">
        <f t="shared" si="7"/>
        <v>1.9323000000000001</v>
      </c>
      <c r="K17" s="12">
        <v>168.28299999999999</v>
      </c>
      <c r="L17" s="10">
        <v>19.832000000000001</v>
      </c>
      <c r="M17" s="11">
        <f t="shared" si="3"/>
        <v>131.21333333333337</v>
      </c>
      <c r="N17" s="11">
        <f t="shared" si="4"/>
        <v>1.9832000000000001</v>
      </c>
      <c r="O17" s="12">
        <v>168.28299999999999</v>
      </c>
      <c r="P17" s="19">
        <f>O17/'0%'!$R$7</f>
        <v>1.0392454839132452</v>
      </c>
      <c r="R17" s="10">
        <f>_xlfn.STDEV.S(D17,H17,L17)/SQRT(10)</f>
        <v>0.17603190998604043</v>
      </c>
      <c r="S17" s="11">
        <f t="shared" si="5"/>
        <v>1.9291666666666667</v>
      </c>
      <c r="T17" s="11">
        <f>AVERAGE(D17,H17,L17)</f>
        <v>19.291666666666668</v>
      </c>
      <c r="U17" s="12">
        <f t="shared" si="6"/>
        <v>9.1247642325377321</v>
      </c>
    </row>
    <row r="23" spans="3:21" x14ac:dyDescent="0.25">
      <c r="C23" s="16"/>
    </row>
    <row r="24" spans="3:21" x14ac:dyDescent="0.25">
      <c r="C24" s="16"/>
    </row>
    <row r="25" spans="3:21" x14ac:dyDescent="0.25">
      <c r="C25" s="16"/>
    </row>
    <row r="26" spans="3:21" x14ac:dyDescent="0.25">
      <c r="C26" s="16"/>
    </row>
    <row r="27" spans="3:21" x14ac:dyDescent="0.25">
      <c r="C27" s="16"/>
    </row>
    <row r="28" spans="3:21" x14ac:dyDescent="0.25">
      <c r="C28" s="16"/>
    </row>
    <row r="29" spans="3:21" x14ac:dyDescent="0.25">
      <c r="C29" s="16"/>
    </row>
    <row r="30" spans="3:21" x14ac:dyDescent="0.25">
      <c r="C30" s="16"/>
    </row>
    <row r="31" spans="3:21" x14ac:dyDescent="0.25">
      <c r="C31" s="16"/>
    </row>
    <row r="32" spans="3:21" x14ac:dyDescent="0.25">
      <c r="C32" s="16"/>
    </row>
    <row r="33" spans="3:3" x14ac:dyDescent="0.25">
      <c r="C33" s="16"/>
    </row>
    <row r="34" spans="3:3" x14ac:dyDescent="0.25">
      <c r="C34" s="16"/>
    </row>
    <row r="35" spans="3:3" x14ac:dyDescent="0.25">
      <c r="C35" s="16"/>
    </row>
    <row r="36" spans="3:3" x14ac:dyDescent="0.25">
      <c r="C36" s="16"/>
    </row>
    <row r="37" spans="3:3" x14ac:dyDescent="0.25">
      <c r="C37" s="16"/>
    </row>
    <row r="38" spans="3:3" x14ac:dyDescent="0.25">
      <c r="C38" s="16"/>
    </row>
    <row r="39" spans="3:3" x14ac:dyDescent="0.25">
      <c r="C39" s="16"/>
    </row>
    <row r="40" spans="3:3" x14ac:dyDescent="0.25">
      <c r="C40" s="16"/>
    </row>
    <row r="41" spans="3:3" x14ac:dyDescent="0.25">
      <c r="C41" s="16"/>
    </row>
  </sheetData>
  <mergeCells count="1">
    <mergeCell ref="R2:U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I22"/>
  <sheetViews>
    <sheetView topLeftCell="A3" workbookViewId="0">
      <selection activeCell="G4" sqref="G4:H21"/>
    </sheetView>
  </sheetViews>
  <sheetFormatPr baseColWidth="10" defaultRowHeight="15" x14ac:dyDescent="0.25"/>
  <sheetData>
    <row r="2" spans="2:9" ht="15.75" thickBot="1" x14ac:dyDescent="0.3">
      <c r="E2" s="43" t="s">
        <v>25</v>
      </c>
      <c r="F2" s="43"/>
      <c r="G2" s="43"/>
    </row>
    <row r="3" spans="2:9" ht="15.75" thickBot="1" x14ac:dyDescent="0.3">
      <c r="B3" s="44" t="s">
        <v>24</v>
      </c>
      <c r="C3" s="45"/>
      <c r="D3" s="46"/>
      <c r="E3" s="47" t="s">
        <v>23</v>
      </c>
      <c r="F3" s="48"/>
      <c r="G3" s="49"/>
    </row>
    <row r="4" spans="2:9" ht="15.75" thickBot="1" x14ac:dyDescent="0.3">
      <c r="B4" s="13" t="s">
        <v>9</v>
      </c>
      <c r="C4" s="14" t="s">
        <v>7</v>
      </c>
      <c r="D4" s="22" t="s">
        <v>5</v>
      </c>
      <c r="E4" s="33" t="s">
        <v>4</v>
      </c>
      <c r="F4" s="34" t="s">
        <v>7</v>
      </c>
      <c r="G4" s="35" t="s">
        <v>5</v>
      </c>
      <c r="H4" s="30" t="s">
        <v>11</v>
      </c>
      <c r="I4" s="30"/>
    </row>
    <row r="5" spans="2:9" x14ac:dyDescent="0.25">
      <c r="B5" s="4">
        <v>4.4999999999999998E-2</v>
      </c>
      <c r="C5" s="16">
        <f>B5/3</f>
        <v>1.4999999999999999E-2</v>
      </c>
      <c r="D5" s="20">
        <v>0</v>
      </c>
      <c r="E5" s="36">
        <v>0.15</v>
      </c>
      <c r="F5" s="37">
        <f t="shared" ref="F5:F16" si="0">E5/10</f>
        <v>1.4999999999999999E-2</v>
      </c>
      <c r="G5" s="38">
        <v>0</v>
      </c>
      <c r="H5">
        <f>G5/'0%'!$R$8</f>
        <v>0</v>
      </c>
    </row>
    <row r="6" spans="2:9" x14ac:dyDescent="0.25">
      <c r="B6" s="4">
        <v>0.17899999999999999</v>
      </c>
      <c r="C6" s="16">
        <f t="shared" ref="C6:C21" si="1">B6/3</f>
        <v>5.9666666666666666E-2</v>
      </c>
      <c r="D6" s="20">
        <f>13+23/60-10-41/60</f>
        <v>2.6999999999999993</v>
      </c>
      <c r="E6" s="36">
        <v>0.65</v>
      </c>
      <c r="F6" s="37">
        <f t="shared" si="0"/>
        <v>6.5000000000000002E-2</v>
      </c>
      <c r="G6" s="38">
        <v>2.7</v>
      </c>
      <c r="H6">
        <f>G6/'0%'!$R$8</f>
        <v>7.9663393960628989E-3</v>
      </c>
    </row>
    <row r="7" spans="2:9" x14ac:dyDescent="0.25">
      <c r="B7" s="4">
        <v>0.25900000000000001</v>
      </c>
      <c r="C7" s="16">
        <f t="shared" si="1"/>
        <v>8.6333333333333331E-2</v>
      </c>
      <c r="D7" s="20">
        <f>15+11/60-10-41/60</f>
        <v>4.5</v>
      </c>
      <c r="E7" s="36">
        <v>0.93999999999999895</v>
      </c>
      <c r="F7" s="37">
        <f t="shared" si="0"/>
        <v>9.3999999999999889E-2</v>
      </c>
      <c r="G7" s="38">
        <v>4.5</v>
      </c>
      <c r="H7">
        <f>G7/'0%'!$R$8</f>
        <v>1.3277232326771497E-2</v>
      </c>
    </row>
    <row r="8" spans="2:9" x14ac:dyDescent="0.25">
      <c r="B8" s="4">
        <v>1.0269999999999999</v>
      </c>
      <c r="C8" s="16">
        <f t="shared" si="1"/>
        <v>0.34233333333333332</v>
      </c>
      <c r="D8" s="20">
        <f>24+10+20/60-10-41/60</f>
        <v>23.650000000000002</v>
      </c>
      <c r="E8" s="36">
        <v>3.72</v>
      </c>
      <c r="F8" s="37">
        <f t="shared" si="0"/>
        <v>0.372</v>
      </c>
      <c r="G8" s="38">
        <v>23.65</v>
      </c>
      <c r="H8">
        <f>G8/'0%'!$R$8</f>
        <v>6.9779232117365753E-2</v>
      </c>
    </row>
    <row r="9" spans="2:9" x14ac:dyDescent="0.25">
      <c r="B9" s="4">
        <v>1.2689999999999999</v>
      </c>
      <c r="C9" s="16">
        <f t="shared" si="1"/>
        <v>0.42299999999999999</v>
      </c>
      <c r="D9" s="20">
        <f>24+15+1/60-10-41/60</f>
        <v>28.333333333333332</v>
      </c>
      <c r="E9" s="36">
        <v>4.5999999999999996</v>
      </c>
      <c r="F9" s="37">
        <f t="shared" si="0"/>
        <v>0.45999999999999996</v>
      </c>
      <c r="G9" s="38">
        <v>28.333300000000001</v>
      </c>
      <c r="H9">
        <f>G9/'0%'!$R$8</f>
        <v>8.3597290374247749E-2</v>
      </c>
    </row>
    <row r="10" spans="2:9" x14ac:dyDescent="0.25">
      <c r="B10" s="4">
        <v>2.0750000000000002</v>
      </c>
      <c r="C10" s="16">
        <f t="shared" si="1"/>
        <v>0.69166666666666676</v>
      </c>
      <c r="D10" s="20">
        <f>24*2+10+10/60-10-41/60</f>
        <v>47.483333333333334</v>
      </c>
      <c r="E10" s="36">
        <v>7.52</v>
      </c>
      <c r="F10" s="37">
        <f t="shared" si="0"/>
        <v>0.752</v>
      </c>
      <c r="G10" s="38">
        <v>47.4833</v>
      </c>
      <c r="H10">
        <f>G10/'0%'!$R$8</f>
        <v>0.14009929016484202</v>
      </c>
    </row>
    <row r="11" spans="2:9" x14ac:dyDescent="0.25">
      <c r="B11" s="4">
        <v>2.3570000000000002</v>
      </c>
      <c r="C11" s="16">
        <f t="shared" si="1"/>
        <v>0.78566666666666674</v>
      </c>
      <c r="D11" s="20">
        <f>24*2+16+16/60-10-41/60</f>
        <v>53.583333333333336</v>
      </c>
      <c r="E11" s="36">
        <v>8.5399999999999903</v>
      </c>
      <c r="F11" s="37">
        <f t="shared" si="0"/>
        <v>0.85399999999999898</v>
      </c>
      <c r="G11" s="38">
        <v>54.083300000000001</v>
      </c>
      <c r="H11">
        <f>G11/'0%'!$R$8</f>
        <v>0.15957256424410687</v>
      </c>
    </row>
    <row r="12" spans="2:9" x14ac:dyDescent="0.25">
      <c r="B12" s="4">
        <v>2.9889999999999999</v>
      </c>
      <c r="C12" s="16">
        <f t="shared" si="1"/>
        <v>0.99633333333333329</v>
      </c>
      <c r="D12" s="20">
        <f>24*3+9+50/60-10-41/60</f>
        <v>71.149999999999991</v>
      </c>
      <c r="E12" s="36">
        <v>10.83</v>
      </c>
      <c r="F12" s="37">
        <f t="shared" si="0"/>
        <v>1.083</v>
      </c>
      <c r="G12" s="38">
        <v>71.816699999999997</v>
      </c>
      <c r="H12">
        <f>G12/'0%'!$R$8</f>
        <v>0.21189489129823347</v>
      </c>
    </row>
    <row r="13" spans="2:9" x14ac:dyDescent="0.25">
      <c r="B13" s="4">
        <v>3.165</v>
      </c>
      <c r="C13" s="16">
        <f t="shared" si="1"/>
        <v>1.0549999999999999</v>
      </c>
      <c r="D13" s="20">
        <f>24*3+15+28/60-10-41/60</f>
        <v>76.783333333333331</v>
      </c>
      <c r="E13" s="36">
        <v>11.47</v>
      </c>
      <c r="F13" s="37">
        <f t="shared" si="0"/>
        <v>1.147</v>
      </c>
      <c r="G13" s="38">
        <v>77.133300000000006</v>
      </c>
      <c r="H13">
        <f>G13/'0%'!$R$8</f>
        <v>0.22758149871790312</v>
      </c>
    </row>
    <row r="14" spans="2:9" x14ac:dyDescent="0.25">
      <c r="B14" s="4">
        <v>3.83</v>
      </c>
      <c r="C14" s="16">
        <f t="shared" si="1"/>
        <v>1.2766666666666666</v>
      </c>
      <c r="D14" s="20">
        <f>24*4+13+47/60-10-41/60</f>
        <v>99.1</v>
      </c>
      <c r="E14" s="36">
        <v>13.88</v>
      </c>
      <c r="F14" s="37">
        <f t="shared" si="0"/>
        <v>1.3880000000000001</v>
      </c>
      <c r="G14" s="38">
        <v>99.099999999999895</v>
      </c>
      <c r="H14">
        <f>G14/'0%'!$R$8</f>
        <v>0.2923941607962342</v>
      </c>
    </row>
    <row r="15" spans="2:9" x14ac:dyDescent="0.25">
      <c r="B15" s="4">
        <v>4.3</v>
      </c>
      <c r="C15" s="16">
        <f t="shared" si="1"/>
        <v>1.4333333333333333</v>
      </c>
      <c r="D15" s="20">
        <f>24*5+10+47/60-10-41/60</f>
        <v>120.1</v>
      </c>
      <c r="E15" s="36">
        <v>15.33</v>
      </c>
      <c r="F15" s="37">
        <f t="shared" si="0"/>
        <v>1.5329999999999999</v>
      </c>
      <c r="G15" s="38">
        <f>24*5+10+47/60-10-41/60</f>
        <v>120.1</v>
      </c>
      <c r="H15">
        <f>G15/'0%'!$R$8</f>
        <v>0.35435457832116818</v>
      </c>
    </row>
    <row r="16" spans="2:9" x14ac:dyDescent="0.25">
      <c r="B16" s="4">
        <v>4.7</v>
      </c>
      <c r="C16" s="16">
        <f t="shared" si="1"/>
        <v>1.5666666666666667</v>
      </c>
      <c r="D16" s="20">
        <f>24*6+10+50/60-10-41/60</f>
        <v>144.15</v>
      </c>
      <c r="E16" s="36">
        <v>17.03</v>
      </c>
      <c r="F16" s="37">
        <f t="shared" si="0"/>
        <v>1.7030000000000001</v>
      </c>
      <c r="G16" s="38">
        <f>24*6+10+50/60-10-41/60</f>
        <v>144.15</v>
      </c>
      <c r="H16">
        <f>G16/'0%'!$R$8</f>
        <v>0.42531400886758031</v>
      </c>
    </row>
    <row r="17" spans="2:8" x14ac:dyDescent="0.25">
      <c r="B17" s="4">
        <v>4.9539999999999997</v>
      </c>
      <c r="C17" s="16">
        <f t="shared" si="1"/>
        <v>1.6513333333333333</v>
      </c>
      <c r="D17" s="20">
        <f>24*7+10+34/60-10-41/60</f>
        <v>167.88333333333333</v>
      </c>
      <c r="E17" s="36">
        <v>17.95</v>
      </c>
      <c r="F17" s="37">
        <f t="shared" ref="F17:F21" si="2">E17/10</f>
        <v>1.7949999999999999</v>
      </c>
      <c r="G17" s="38">
        <v>167.88300000000001</v>
      </c>
      <c r="H17">
        <f>G17/'0%'!$R$8</f>
        <v>0.49533813215897321</v>
      </c>
    </row>
    <row r="18" spans="2:8" x14ac:dyDescent="0.25">
      <c r="B18" s="4">
        <v>5.1390000000000002</v>
      </c>
      <c r="C18" s="16">
        <f t="shared" si="1"/>
        <v>1.7130000000000001</v>
      </c>
      <c r="D18" s="20">
        <f>24*8+10+6/60-10-41/60</f>
        <v>191.41666666666666</v>
      </c>
      <c r="E18" s="36">
        <v>18.62</v>
      </c>
      <c r="F18" s="37">
        <f t="shared" si="2"/>
        <v>1.8620000000000001</v>
      </c>
      <c r="G18" s="38">
        <v>191.417</v>
      </c>
      <c r="H18">
        <f>G18/'0%'!$R$8</f>
        <v>0.56477510673191555</v>
      </c>
    </row>
    <row r="19" spans="2:8" x14ac:dyDescent="0.25">
      <c r="B19" s="4">
        <v>5.2050000000000001</v>
      </c>
      <c r="C19" s="16">
        <f t="shared" si="1"/>
        <v>1.7350000000000001</v>
      </c>
      <c r="D19" s="20">
        <f>24*9+9+46/60-10-41/60</f>
        <v>215.08333333333334</v>
      </c>
      <c r="E19" s="36">
        <v>18.86</v>
      </c>
      <c r="F19" s="37">
        <f t="shared" si="2"/>
        <v>1.8859999999999999</v>
      </c>
      <c r="G19" s="38">
        <v>215.084</v>
      </c>
      <c r="H19">
        <f>G19/'0%'!$R$8</f>
        <v>0.63460449728251578</v>
      </c>
    </row>
    <row r="20" spans="2:8" x14ac:dyDescent="0.25">
      <c r="B20" s="4">
        <v>5.2290000000000001</v>
      </c>
      <c r="C20" s="16">
        <f t="shared" si="1"/>
        <v>1.7430000000000001</v>
      </c>
      <c r="D20" s="20">
        <f>24*9+15+20/60-10-41/60</f>
        <v>220.65</v>
      </c>
      <c r="E20" s="36">
        <v>18.95</v>
      </c>
      <c r="F20" s="37">
        <f t="shared" si="2"/>
        <v>1.895</v>
      </c>
      <c r="G20" s="38">
        <v>220.65</v>
      </c>
      <c r="H20">
        <f>G20/'0%'!$R$8</f>
        <v>0.65102695842269576</v>
      </c>
    </row>
    <row r="21" spans="2:8" ht="15.75" thickBot="1" x14ac:dyDescent="0.3">
      <c r="B21" s="10">
        <v>5.2290000000000001</v>
      </c>
      <c r="C21" s="17">
        <f t="shared" si="1"/>
        <v>1.7430000000000001</v>
      </c>
      <c r="D21" s="21">
        <f>24*10+6+34/60-10-41/60</f>
        <v>235.88333333333333</v>
      </c>
      <c r="E21" s="39">
        <v>18.95</v>
      </c>
      <c r="F21" s="40">
        <f t="shared" si="2"/>
        <v>1.895</v>
      </c>
      <c r="G21" s="41">
        <v>235.88300000000001</v>
      </c>
      <c r="H21">
        <f>G21/'0%'!$R$8</f>
        <v>0.6959718650968536</v>
      </c>
    </row>
    <row r="22" spans="2:8" x14ac:dyDescent="0.25">
      <c r="C22" s="16"/>
      <c r="D22" s="16"/>
      <c r="E22" s="16"/>
      <c r="F22" s="16"/>
      <c r="G22" s="16"/>
    </row>
  </sheetData>
  <mergeCells count="3">
    <mergeCell ref="B3:D3"/>
    <mergeCell ref="E3:G3"/>
    <mergeCell ref="E2:G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R24"/>
  <sheetViews>
    <sheetView tabSelected="1" topLeftCell="AF1" zoomScaleNormal="100" workbookViewId="0">
      <selection activeCell="AO5" sqref="AO5"/>
    </sheetView>
  </sheetViews>
  <sheetFormatPr baseColWidth="10" defaultRowHeight="15" x14ac:dyDescent="0.25"/>
  <sheetData>
    <row r="1" spans="1:44" ht="15.75" thickBot="1" x14ac:dyDescent="0.3">
      <c r="A1" s="107">
        <v>0</v>
      </c>
      <c r="B1" s="106"/>
      <c r="C1" s="106"/>
      <c r="D1" s="106"/>
      <c r="E1" s="106"/>
      <c r="F1" s="106"/>
      <c r="G1" s="106"/>
      <c r="H1" s="108"/>
      <c r="I1" s="107">
        <v>0.2</v>
      </c>
      <c r="J1" s="106"/>
      <c r="K1" s="106"/>
      <c r="L1" s="106"/>
      <c r="M1" s="106"/>
      <c r="N1" s="106"/>
      <c r="O1" s="106"/>
      <c r="P1" s="108"/>
      <c r="Q1" s="113">
        <v>0.4</v>
      </c>
      <c r="R1" s="111"/>
      <c r="S1" s="111"/>
      <c r="T1" s="111"/>
      <c r="U1" s="111"/>
      <c r="V1" s="111"/>
      <c r="W1" s="111"/>
      <c r="X1" s="111"/>
      <c r="Y1" s="107">
        <v>0.5</v>
      </c>
      <c r="Z1" s="106"/>
      <c r="AA1" s="106"/>
      <c r="AB1" s="106"/>
      <c r="AC1" s="106"/>
      <c r="AD1" s="106"/>
      <c r="AE1" s="106"/>
      <c r="AF1" s="108"/>
      <c r="AG1" s="107">
        <v>0.6</v>
      </c>
      <c r="AH1" s="106"/>
      <c r="AI1" s="106"/>
      <c r="AJ1" s="106"/>
      <c r="AK1" s="106"/>
      <c r="AL1" s="106"/>
      <c r="AM1" s="106"/>
      <c r="AN1" s="108"/>
      <c r="AO1" s="107">
        <v>0.7</v>
      </c>
      <c r="AP1" s="106"/>
      <c r="AQ1" s="106"/>
      <c r="AR1" s="108"/>
    </row>
    <row r="2" spans="1:44" ht="15.75" thickBot="1" x14ac:dyDescent="0.3">
      <c r="A2" s="94" t="s">
        <v>2</v>
      </c>
      <c r="B2" s="95" t="s">
        <v>11</v>
      </c>
      <c r="C2" s="96" t="s">
        <v>6</v>
      </c>
      <c r="D2" s="96" t="s">
        <v>14</v>
      </c>
      <c r="E2" s="93" t="s">
        <v>13</v>
      </c>
      <c r="F2" s="93" t="s">
        <v>15</v>
      </c>
      <c r="G2" s="96" t="s">
        <v>26</v>
      </c>
      <c r="H2" s="96" t="s">
        <v>10</v>
      </c>
      <c r="I2" s="112" t="s">
        <v>2</v>
      </c>
      <c r="J2" s="96" t="s">
        <v>11</v>
      </c>
      <c r="K2" s="96" t="s">
        <v>6</v>
      </c>
      <c r="L2" s="96" t="s">
        <v>14</v>
      </c>
      <c r="M2" s="93" t="s">
        <v>13</v>
      </c>
      <c r="N2" s="93" t="s">
        <v>15</v>
      </c>
      <c r="O2" s="96" t="s">
        <v>16</v>
      </c>
      <c r="P2" s="96" t="s">
        <v>10</v>
      </c>
      <c r="Q2" s="112" t="s">
        <v>2</v>
      </c>
      <c r="R2" s="96" t="s">
        <v>11</v>
      </c>
      <c r="S2" s="96" t="s">
        <v>6</v>
      </c>
      <c r="T2" s="96" t="s">
        <v>14</v>
      </c>
      <c r="U2" s="93" t="s">
        <v>13</v>
      </c>
      <c r="V2" s="93" t="s">
        <v>15</v>
      </c>
      <c r="W2" s="96" t="s">
        <v>16</v>
      </c>
      <c r="X2" s="96" t="s">
        <v>10</v>
      </c>
      <c r="Y2" s="112" t="s">
        <v>2</v>
      </c>
      <c r="Z2" s="96" t="s">
        <v>11</v>
      </c>
      <c r="AA2" s="96" t="s">
        <v>6</v>
      </c>
      <c r="AB2" s="96" t="s">
        <v>14</v>
      </c>
      <c r="AC2" s="93" t="s">
        <v>13</v>
      </c>
      <c r="AD2" s="93" t="s">
        <v>15</v>
      </c>
      <c r="AE2" s="96" t="s">
        <v>16</v>
      </c>
      <c r="AF2" s="103" t="s">
        <v>10</v>
      </c>
      <c r="AG2" s="112" t="s">
        <v>27</v>
      </c>
      <c r="AH2" s="96" t="s">
        <v>11</v>
      </c>
      <c r="AI2" s="96" t="s">
        <v>6</v>
      </c>
      <c r="AJ2" s="96" t="s">
        <v>14</v>
      </c>
      <c r="AK2" s="93" t="s">
        <v>13</v>
      </c>
      <c r="AL2" s="93" t="s">
        <v>15</v>
      </c>
      <c r="AM2" s="96" t="s">
        <v>16</v>
      </c>
      <c r="AN2" s="96" t="s">
        <v>10</v>
      </c>
      <c r="AO2" s="112" t="s">
        <v>27</v>
      </c>
      <c r="AP2" s="96" t="s">
        <v>11</v>
      </c>
      <c r="AQ2" s="96" t="s">
        <v>6</v>
      </c>
      <c r="AR2" s="103" t="s">
        <v>10</v>
      </c>
    </row>
    <row r="3" spans="1:44" x14ac:dyDescent="0.25">
      <c r="A3" s="97">
        <v>0</v>
      </c>
      <c r="B3" s="98">
        <v>0</v>
      </c>
      <c r="C3" s="99">
        <v>1.4999999999999999E-2</v>
      </c>
      <c r="D3" s="99">
        <v>0</v>
      </c>
      <c r="E3" s="66">
        <v>1.4999999999999999E-2</v>
      </c>
      <c r="F3" s="66">
        <v>1E-4</v>
      </c>
      <c r="G3" s="99">
        <f>D3/E3+C3/(E3^2)*F3</f>
        <v>6.6666666666666671E-3</v>
      </c>
      <c r="H3" s="99">
        <f>(C3-$C$3)/$C$3</f>
        <v>0</v>
      </c>
      <c r="I3" s="109">
        <v>0</v>
      </c>
      <c r="J3" s="99">
        <v>0</v>
      </c>
      <c r="K3" s="99">
        <v>1.4999999999999999E-2</v>
      </c>
      <c r="L3" s="99">
        <v>0</v>
      </c>
      <c r="M3" s="66">
        <v>1.4999999999999999E-2</v>
      </c>
      <c r="N3" s="66">
        <v>1E-3</v>
      </c>
      <c r="O3" s="99">
        <f>L3/M3+K3/(M3^2)*N3</f>
        <v>6.666666666666668E-2</v>
      </c>
      <c r="P3" s="99">
        <f>(K3-$K$3)/$K$3</f>
        <v>0</v>
      </c>
      <c r="Q3" s="109">
        <v>0</v>
      </c>
      <c r="R3" s="99">
        <v>0</v>
      </c>
      <c r="S3" s="99">
        <v>1.4999999999999999E-2</v>
      </c>
      <c r="T3" s="99">
        <v>0</v>
      </c>
      <c r="U3" s="66">
        <v>1.4999999999999999E-2</v>
      </c>
      <c r="V3" s="66">
        <v>1E-3</v>
      </c>
      <c r="W3" s="99">
        <f>T3/U3+S3/(U3^2)*V3</f>
        <v>6.666666666666668E-2</v>
      </c>
      <c r="X3" s="99">
        <f>(S3-$S$3)/$S$3</f>
        <v>0</v>
      </c>
      <c r="Y3" s="109">
        <v>0</v>
      </c>
      <c r="Z3" s="99">
        <v>0</v>
      </c>
      <c r="AA3" s="99">
        <v>1.4999999999999999E-2</v>
      </c>
      <c r="AB3" s="99">
        <v>0</v>
      </c>
      <c r="AC3" s="66">
        <v>1.4999999999999999E-2</v>
      </c>
      <c r="AD3" s="66">
        <v>1E-3</v>
      </c>
      <c r="AE3" s="99">
        <f>AB3/AC3+AA3/(AC3^2)*AD3</f>
        <v>6.666666666666668E-2</v>
      </c>
      <c r="AF3" s="104">
        <f>(AA3-$AA$3)/$AA$3</f>
        <v>0</v>
      </c>
      <c r="AG3" s="109">
        <v>0</v>
      </c>
      <c r="AH3" s="99">
        <v>0</v>
      </c>
      <c r="AI3" s="99">
        <v>1.4999999999999999E-2</v>
      </c>
      <c r="AJ3" s="99">
        <v>0</v>
      </c>
      <c r="AK3" s="66">
        <v>1.4999999999999999E-2</v>
      </c>
      <c r="AL3" s="66">
        <v>1E-3</v>
      </c>
      <c r="AM3" s="99">
        <f>AJ3/AK3+AI3/(AK3^2)*AL3</f>
        <v>6.666666666666668E-2</v>
      </c>
      <c r="AN3" s="99">
        <f>(AI3-$AI$3)/$AI$3</f>
        <v>0</v>
      </c>
      <c r="AO3" s="109">
        <v>0</v>
      </c>
      <c r="AP3" s="99">
        <v>0</v>
      </c>
      <c r="AQ3" s="99">
        <v>1.4999999999999999E-2</v>
      </c>
      <c r="AR3" s="104">
        <f>(AQ3-$AQ$3)/$AQ$3</f>
        <v>0</v>
      </c>
    </row>
    <row r="4" spans="1:44" x14ac:dyDescent="0.25">
      <c r="A4" s="97">
        <v>0.25</v>
      </c>
      <c r="B4" s="98">
        <v>1.683691042433047E-2</v>
      </c>
      <c r="C4" s="99">
        <v>0.14099999999999999</v>
      </c>
      <c r="D4" s="99">
        <v>1.1147408034263066E-2</v>
      </c>
      <c r="E4" s="66">
        <v>1.4999999999999999E-2</v>
      </c>
      <c r="F4" s="66">
        <v>1E-3</v>
      </c>
      <c r="G4" s="99">
        <f>D4/E4+C4/(E4^2)*F4</f>
        <v>1.3698272022842044</v>
      </c>
      <c r="H4" s="99">
        <f>(C4-$C$3)/$C$3</f>
        <v>8.4</v>
      </c>
      <c r="I4" s="109">
        <v>0.16666666666666599</v>
      </c>
      <c r="J4" s="99">
        <v>6.3768965428498423E-3</v>
      </c>
      <c r="K4" s="99">
        <v>7.400000000000001E-2</v>
      </c>
      <c r="L4" s="99">
        <v>3.1622776601683821E-4</v>
      </c>
      <c r="M4" s="66">
        <v>1.4999999999999999E-2</v>
      </c>
      <c r="N4" s="66">
        <v>1E-3</v>
      </c>
      <c r="O4" s="99">
        <f t="shared" ref="O4:O23" si="0">L4/M4+K4/(M4^2)*N4</f>
        <v>0.34997073995667816</v>
      </c>
      <c r="P4" s="99">
        <f>(K4-$K$3)/$K$3</f>
        <v>3.933333333333334</v>
      </c>
      <c r="Q4" s="109">
        <v>0.5</v>
      </c>
      <c r="R4" s="99">
        <v>9.0245839874411298E-3</v>
      </c>
      <c r="S4" s="99">
        <v>0.10564999999999999</v>
      </c>
      <c r="T4" s="99">
        <v>2.2360679774995434E-4</v>
      </c>
      <c r="U4" s="66">
        <v>1.4999999999999999E-2</v>
      </c>
      <c r="V4" s="66">
        <v>1E-3</v>
      </c>
      <c r="W4" s="99">
        <f t="shared" ref="W4:W24" si="1">T4/U4+S4/(U4^2)*V4</f>
        <v>0.48446267540555249</v>
      </c>
      <c r="X4" s="99">
        <f>(S4-$S$3)/$S$3</f>
        <v>6.043333333333333</v>
      </c>
      <c r="Y4" s="109">
        <v>1</v>
      </c>
      <c r="Z4" s="99">
        <v>1.1187500810877436E-2</v>
      </c>
      <c r="AA4" s="99">
        <v>0.11100000000000002</v>
      </c>
      <c r="AB4" s="99">
        <v>1.4491376746189604E-3</v>
      </c>
      <c r="AC4" s="66">
        <v>1.4999999999999999E-2</v>
      </c>
      <c r="AD4" s="66">
        <v>1E-3</v>
      </c>
      <c r="AE4" s="99">
        <f t="shared" ref="AE4:AE23" si="2">AB4/AC4+AA4/(AC4^2)*AD4</f>
        <v>0.58994251164126421</v>
      </c>
      <c r="AF4" s="104">
        <f>(AA4-$AA$3)/$AA$3</f>
        <v>6.4000000000000012</v>
      </c>
      <c r="AG4" s="109">
        <v>1.81667</v>
      </c>
      <c r="AH4" s="99">
        <v>1.1218994748493165E-2</v>
      </c>
      <c r="AI4" s="99">
        <v>8.6566666666666667E-2</v>
      </c>
      <c r="AJ4" s="99">
        <v>9.3238046597584542E-3</v>
      </c>
      <c r="AK4" s="66">
        <v>1.4999999999999999E-2</v>
      </c>
      <c r="AL4" s="66">
        <v>1E-3</v>
      </c>
      <c r="AM4" s="99">
        <f t="shared" ref="AM4:AM16" si="3">AJ4/AK4+AI4/(AK4^2)*AL4</f>
        <v>1.0063277180579711</v>
      </c>
      <c r="AN4" s="99">
        <f>(AI4-$AI$3)/$AI$3</f>
        <v>4.7711111111111117</v>
      </c>
      <c r="AO4" s="109">
        <v>2.7</v>
      </c>
      <c r="AP4" s="99">
        <v>7.9663393960628989E-3</v>
      </c>
      <c r="AQ4" s="99">
        <v>6.3769230999999996E-2</v>
      </c>
      <c r="AR4" s="104">
        <f>(AQ4-$AQ$3)/$AQ$3</f>
        <v>3.2512820666666666</v>
      </c>
    </row>
    <row r="5" spans="1:44" x14ac:dyDescent="0.25">
      <c r="A5" s="97">
        <v>0.5</v>
      </c>
      <c r="B5" s="98">
        <v>3.367382084866094E-2</v>
      </c>
      <c r="C5" s="99">
        <v>0.25999999999999995</v>
      </c>
      <c r="D5" s="99">
        <v>7.7002864728986431E-2</v>
      </c>
      <c r="E5" s="66">
        <v>1.4999999999999999E-2</v>
      </c>
      <c r="F5" s="66">
        <v>1E-3</v>
      </c>
      <c r="G5" s="99">
        <f>D5/E5+C5/(E5^2)*F5</f>
        <v>6.2890798708213183</v>
      </c>
      <c r="H5" s="99">
        <f>(C5-$C$3)/$C$3</f>
        <v>16.333333333333329</v>
      </c>
      <c r="I5" s="109">
        <v>0.33333333333333298</v>
      </c>
      <c r="J5" s="99">
        <v>1.2753793085699723E-2</v>
      </c>
      <c r="K5" s="99">
        <v>0.11036666666666665</v>
      </c>
      <c r="L5" s="99">
        <v>1.0316653204083813E-2</v>
      </c>
      <c r="M5" s="66">
        <v>1.4999999999999999E-2</v>
      </c>
      <c r="N5" s="66">
        <v>1E-3</v>
      </c>
      <c r="O5" s="99">
        <f t="shared" si="0"/>
        <v>1.1782953987907727</v>
      </c>
      <c r="P5" s="99">
        <f>(K5-$K$3)/$K$3</f>
        <v>6.3577777777777769</v>
      </c>
      <c r="Q5" s="109">
        <v>1</v>
      </c>
      <c r="R5" s="99">
        <v>1.804916797488226E-2</v>
      </c>
      <c r="S5" s="99">
        <v>0.18049999999999999</v>
      </c>
      <c r="T5" s="99">
        <v>0</v>
      </c>
      <c r="U5" s="66">
        <v>1.4999999999999999E-2</v>
      </c>
      <c r="V5" s="66">
        <v>1E-3</v>
      </c>
      <c r="W5" s="99">
        <f t="shared" si="1"/>
        <v>0.80222222222222217</v>
      </c>
      <c r="X5" s="99">
        <f>(S5-$S$3)/$S$3</f>
        <v>11.033333333333333</v>
      </c>
      <c r="Y5" s="109">
        <v>2</v>
      </c>
      <c r="Z5" s="99">
        <v>2.2375001621754872E-2</v>
      </c>
      <c r="AA5" s="99">
        <v>0.18923333333333331</v>
      </c>
      <c r="AB5" s="99">
        <v>1.5337318322749033E-2</v>
      </c>
      <c r="AC5" s="66">
        <v>1.4999999999999999E-2</v>
      </c>
      <c r="AD5" s="66">
        <v>1E-3</v>
      </c>
      <c r="AE5" s="99">
        <f t="shared" si="2"/>
        <v>1.8635249252203057</v>
      </c>
      <c r="AF5" s="104">
        <f>(AA5-$AA$3)/$AA$3</f>
        <v>11.615555555555554</v>
      </c>
      <c r="AG5" s="109">
        <v>3.1333299999999999</v>
      </c>
      <c r="AH5" s="99">
        <v>1.9350136687068146E-2</v>
      </c>
      <c r="AI5" s="99">
        <v>0.13669999999999999</v>
      </c>
      <c r="AJ5" s="99">
        <v>1.808590611498356E-2</v>
      </c>
      <c r="AK5" s="66">
        <v>1.4999999999999999E-2</v>
      </c>
      <c r="AL5" s="66">
        <v>1E-3</v>
      </c>
      <c r="AM5" s="99">
        <f t="shared" si="3"/>
        <v>1.8132826298877927</v>
      </c>
      <c r="AN5" s="99">
        <f>(AI5-$AI$3)/$AI$3</f>
        <v>8.1133333333333333</v>
      </c>
      <c r="AO5" s="109">
        <v>4.5</v>
      </c>
      <c r="AP5" s="99">
        <v>1.3277232326771497E-2</v>
      </c>
      <c r="AQ5" s="99">
        <v>9.2230769000000004E-2</v>
      </c>
      <c r="AR5" s="104">
        <f>(AQ5-$AQ$3)/$AQ$3</f>
        <v>5.1487179333333337</v>
      </c>
    </row>
    <row r="6" spans="1:44" x14ac:dyDescent="0.25">
      <c r="A6" s="97">
        <v>0.75</v>
      </c>
      <c r="B6" s="98">
        <v>5.0510731272991417E-2</v>
      </c>
      <c r="C6" s="99">
        <v>0.36999999999999994</v>
      </c>
      <c r="D6" s="99">
        <v>3.0698246740509128E-2</v>
      </c>
      <c r="E6" s="66">
        <v>1.4999999999999999E-2</v>
      </c>
      <c r="F6" s="66">
        <v>1E-3</v>
      </c>
      <c r="G6" s="99">
        <f>D6/E6+C6/(E6^2)*F6</f>
        <v>3.6909942271450529</v>
      </c>
      <c r="H6" s="99">
        <f>(C6-$C$3)/$C$3</f>
        <v>23.666666666666664</v>
      </c>
      <c r="I6" s="109">
        <v>0.5</v>
      </c>
      <c r="J6" s="99">
        <v>1.9130689628549604E-2</v>
      </c>
      <c r="K6" s="99">
        <v>0.1492</v>
      </c>
      <c r="L6" s="99">
        <v>1.7401149387324979E-2</v>
      </c>
      <c r="M6" s="66">
        <v>1.4999999999999999E-2</v>
      </c>
      <c r="N6" s="66">
        <v>1E-3</v>
      </c>
      <c r="O6" s="99">
        <f t="shared" si="0"/>
        <v>1.8231877369327765</v>
      </c>
      <c r="P6" s="99">
        <f>(K6-$K$3)/$K$3</f>
        <v>8.9466666666666654</v>
      </c>
      <c r="Q6" s="109">
        <v>1.5</v>
      </c>
      <c r="R6" s="99">
        <v>2.7073751962323391E-2</v>
      </c>
      <c r="S6" s="99">
        <v>0.25529999999999997</v>
      </c>
      <c r="T6" s="99">
        <v>0</v>
      </c>
      <c r="U6" s="66">
        <v>1.4999999999999999E-2</v>
      </c>
      <c r="V6" s="66">
        <v>1E-3</v>
      </c>
      <c r="W6" s="99">
        <f t="shared" si="1"/>
        <v>1.1346666666666665</v>
      </c>
      <c r="X6" s="99">
        <f>(S6-$S$3)/$S$3</f>
        <v>16.019999999999996</v>
      </c>
      <c r="Y6" s="109">
        <v>3</v>
      </c>
      <c r="Z6" s="99">
        <v>3.3562502432632313E-2</v>
      </c>
      <c r="AA6" s="99">
        <v>0.27123333333333333</v>
      </c>
      <c r="AB6" s="99">
        <v>1.5496236102142185E-2</v>
      </c>
      <c r="AC6" s="66">
        <v>1.4999999999999999E-2</v>
      </c>
      <c r="AD6" s="66">
        <v>1E-3</v>
      </c>
      <c r="AE6" s="99">
        <f t="shared" si="2"/>
        <v>2.2385638882909609</v>
      </c>
      <c r="AF6" s="104">
        <f>(AA6-$AA$3)/$AA$3</f>
        <v>17.082222222222221</v>
      </c>
      <c r="AG6" s="109">
        <v>4.9666699999999997</v>
      </c>
      <c r="AH6" s="99">
        <v>3.0672078389304906E-2</v>
      </c>
      <c r="AI6" s="99">
        <v>0.20733333333333329</v>
      </c>
      <c r="AJ6" s="99">
        <v>4.0862370627917984E-2</v>
      </c>
      <c r="AK6" s="66">
        <v>1.4999999999999999E-2</v>
      </c>
      <c r="AL6" s="66">
        <v>1E-3</v>
      </c>
      <c r="AM6" s="99">
        <f t="shared" si="3"/>
        <v>3.6456395233426804</v>
      </c>
      <c r="AN6" s="99">
        <f>(AI6-$AI$3)/$AI$3</f>
        <v>12.822222222222221</v>
      </c>
      <c r="AO6" s="109">
        <v>23.65</v>
      </c>
      <c r="AP6" s="99">
        <v>6.9779232117365753E-2</v>
      </c>
      <c r="AQ6" s="99">
        <v>0.365153846</v>
      </c>
      <c r="AR6" s="104">
        <f>(AQ6-$AQ$3)/$AQ$3</f>
        <v>23.343589733333335</v>
      </c>
    </row>
    <row r="7" spans="1:44" x14ac:dyDescent="0.25">
      <c r="A7" s="97">
        <v>1</v>
      </c>
      <c r="B7" s="98">
        <v>6.7347641697321881E-2</v>
      </c>
      <c r="C7" s="99">
        <v>0.48799999999999999</v>
      </c>
      <c r="D7" s="99">
        <v>4.5790122233050068E-2</v>
      </c>
      <c r="E7" s="66">
        <v>1.4999999999999999E-2</v>
      </c>
      <c r="F7" s="66">
        <v>1E-3</v>
      </c>
      <c r="G7" s="99">
        <f>D7/E7+C7/(E7^2)*F7</f>
        <v>5.2215637044255594</v>
      </c>
      <c r="H7" s="99">
        <f>(C7-$C$3)/$C$3</f>
        <v>31.533333333333331</v>
      </c>
      <c r="I7" s="109">
        <v>0.66666666666666596</v>
      </c>
      <c r="J7" s="99">
        <v>2.5507586171399445E-2</v>
      </c>
      <c r="K7" s="99">
        <v>0.20036666666666672</v>
      </c>
      <c r="L7" s="99">
        <v>3.5158687878436755E-2</v>
      </c>
      <c r="M7" s="66">
        <v>1.4999999999999999E-2</v>
      </c>
      <c r="N7" s="66">
        <v>1E-3</v>
      </c>
      <c r="O7" s="99">
        <f t="shared" si="0"/>
        <v>3.234431043747636</v>
      </c>
      <c r="P7" s="99">
        <f>(K7-$K$3)/$K$3</f>
        <v>12.357777777777782</v>
      </c>
      <c r="Q7" s="109">
        <v>2</v>
      </c>
      <c r="R7" s="99">
        <v>3.6098335949764519E-2</v>
      </c>
      <c r="S7" s="99">
        <v>0.3226</v>
      </c>
      <c r="T7" s="99">
        <v>3.130495168499758E-3</v>
      </c>
      <c r="U7" s="66">
        <v>1.4999999999999999E-2</v>
      </c>
      <c r="V7" s="66">
        <v>1E-3</v>
      </c>
      <c r="W7" s="99">
        <f t="shared" si="1"/>
        <v>1.6424774556777617</v>
      </c>
      <c r="X7" s="99">
        <f>(S7-$S$3)/$S$3</f>
        <v>20.506666666666668</v>
      </c>
      <c r="Y7" s="109">
        <v>4</v>
      </c>
      <c r="Z7" s="99">
        <v>4.4750003243509744E-2</v>
      </c>
      <c r="AA7" s="99">
        <v>0.35396666666666665</v>
      </c>
      <c r="AB7" s="99">
        <v>6.3587210454094344E-3</v>
      </c>
      <c r="AC7" s="66">
        <v>1.4999999999999999E-2</v>
      </c>
      <c r="AD7" s="66">
        <v>1E-3</v>
      </c>
      <c r="AE7" s="99">
        <f t="shared" si="2"/>
        <v>1.9970999215458143</v>
      </c>
      <c r="AF7" s="104">
        <f>(AA7-$AA$3)/$AA$3</f>
        <v>22.597777777777775</v>
      </c>
      <c r="AG7" s="109">
        <v>10</v>
      </c>
      <c r="AH7" s="99">
        <v>6.1755821081942039E-2</v>
      </c>
      <c r="AI7" s="99">
        <v>0.41253333333333336</v>
      </c>
      <c r="AJ7" s="99">
        <v>2.9574200468200782E-2</v>
      </c>
      <c r="AK7" s="66">
        <v>1.4999999999999999E-2</v>
      </c>
      <c r="AL7" s="66">
        <v>1E-3</v>
      </c>
      <c r="AM7" s="99">
        <f t="shared" si="3"/>
        <v>3.8050948460282008</v>
      </c>
      <c r="AN7" s="99">
        <f>(AI7-$AI$3)/$AI$3</f>
        <v>26.502222222222223</v>
      </c>
      <c r="AO7" s="109">
        <v>28.333300000000001</v>
      </c>
      <c r="AP7" s="99">
        <v>8.3597290374247749E-2</v>
      </c>
      <c r="AQ7" s="99">
        <v>0.451461538</v>
      </c>
      <c r="AR7" s="104">
        <f>(AQ7-$AQ$3)/$AQ$3</f>
        <v>29.097435866666668</v>
      </c>
    </row>
    <row r="8" spans="1:44" x14ac:dyDescent="0.25">
      <c r="A8" s="97">
        <v>1.5</v>
      </c>
      <c r="B8" s="98">
        <v>0.10102146254598283</v>
      </c>
      <c r="C8" s="99">
        <v>0.69099999999999995</v>
      </c>
      <c r="D8" s="99">
        <v>6.1739490651303082E-2</v>
      </c>
      <c r="E8" s="66">
        <v>1.4999999999999999E-2</v>
      </c>
      <c r="F8" s="66">
        <v>1E-3</v>
      </c>
      <c r="G8" s="99">
        <f>D8/E8+C8/(E8^2)*F8</f>
        <v>7.1870771545313161</v>
      </c>
      <c r="H8" s="99">
        <f>(C8-$C$3)/$C$3</f>
        <v>45.066666666666663</v>
      </c>
      <c r="I8" s="109">
        <v>0.83333333333333304</v>
      </c>
      <c r="J8" s="99">
        <v>3.1884482714249325E-2</v>
      </c>
      <c r="K8" s="99">
        <v>0.24003333333333338</v>
      </c>
      <c r="L8" s="99">
        <v>3.8896443710618747E-2</v>
      </c>
      <c r="M8" s="66">
        <v>1.4999999999999999E-2</v>
      </c>
      <c r="N8" s="66">
        <v>1E-3</v>
      </c>
      <c r="O8" s="99">
        <f t="shared" si="0"/>
        <v>3.6599110621893982</v>
      </c>
      <c r="P8" s="99">
        <f>(K8-$K$3)/$K$3</f>
        <v>15.002222222222224</v>
      </c>
      <c r="Q8" s="109">
        <v>3</v>
      </c>
      <c r="R8" s="99">
        <v>5.4147503924646782E-2</v>
      </c>
      <c r="S8" s="99">
        <v>0.45194999999999996</v>
      </c>
      <c r="T8" s="99">
        <v>9.1678787077492194E-3</v>
      </c>
      <c r="U8" s="66">
        <v>1.4999999999999999E-2</v>
      </c>
      <c r="V8" s="66">
        <v>1E-3</v>
      </c>
      <c r="W8" s="99">
        <f t="shared" si="1"/>
        <v>2.6198585805166146</v>
      </c>
      <c r="X8" s="99">
        <f>(S8-$S$3)/$S$3</f>
        <v>29.13</v>
      </c>
      <c r="Y8" s="109">
        <v>5</v>
      </c>
      <c r="Z8" s="99">
        <v>5.5937504054387181E-2</v>
      </c>
      <c r="AA8" s="99">
        <v>0.42920000000000008</v>
      </c>
      <c r="AB8" s="99">
        <v>1.5971850237214216E-2</v>
      </c>
      <c r="AC8" s="66">
        <v>1.4999999999999999E-2</v>
      </c>
      <c r="AD8" s="66">
        <v>1E-3</v>
      </c>
      <c r="AE8" s="99">
        <f t="shared" si="2"/>
        <v>2.972345571369837</v>
      </c>
      <c r="AF8" s="104">
        <f>(AA8-$AA$3)/$AA$3</f>
        <v>27.61333333333334</v>
      </c>
      <c r="AG8" s="109">
        <v>15</v>
      </c>
      <c r="AH8" s="99">
        <v>9.2633731622913065E-2</v>
      </c>
      <c r="AI8" s="99">
        <v>0.57473333333333332</v>
      </c>
      <c r="AJ8" s="99">
        <v>3.1670701497335606E-2</v>
      </c>
      <c r="AK8" s="66">
        <v>1.4999999999999999E-2</v>
      </c>
      <c r="AL8" s="66">
        <v>1E-3</v>
      </c>
      <c r="AM8" s="99">
        <f t="shared" si="3"/>
        <v>4.6657504701927444</v>
      </c>
      <c r="AN8" s="99">
        <f>(AI8-$AI$3)/$AI$3</f>
        <v>37.315555555555555</v>
      </c>
      <c r="AO8" s="109">
        <v>47.4833</v>
      </c>
      <c r="AP8" s="99">
        <v>0.14009929016484202</v>
      </c>
      <c r="AQ8" s="99">
        <v>0.73807692300000005</v>
      </c>
      <c r="AR8" s="104">
        <f>(AQ8-$AQ$3)/$AQ$3</f>
        <v>48.205128200000004</v>
      </c>
    </row>
    <row r="9" spans="1:44" x14ac:dyDescent="0.25">
      <c r="A9" s="97">
        <v>2</v>
      </c>
      <c r="B9" s="98">
        <v>0.13469528339464376</v>
      </c>
      <c r="C9" s="99">
        <v>0.87399999999999989</v>
      </c>
      <c r="D9" s="99">
        <v>8.7292779837537054E-2</v>
      </c>
      <c r="E9" s="66">
        <v>1.4999999999999999E-2</v>
      </c>
      <c r="F9" s="66">
        <v>1E-3</v>
      </c>
      <c r="G9" s="99">
        <f>D9/E9+C9/(E9^2)*F9</f>
        <v>9.703963100280248</v>
      </c>
      <c r="H9" s="99">
        <f>(C9-$C$3)/$C$3</f>
        <v>57.266666666666659</v>
      </c>
      <c r="I9" s="109">
        <v>1</v>
      </c>
      <c r="J9" s="99">
        <v>3.8261379257099208E-2</v>
      </c>
      <c r="K9" s="99">
        <v>0.27613333333333334</v>
      </c>
      <c r="L9" s="99">
        <v>4.90156437612864E-2</v>
      </c>
      <c r="M9" s="66">
        <v>1.4999999999999999E-2</v>
      </c>
      <c r="N9" s="66">
        <v>1E-3</v>
      </c>
      <c r="O9" s="99">
        <f t="shared" si="0"/>
        <v>4.4949688433450197</v>
      </c>
      <c r="P9" s="99">
        <f>(K9-$K$3)/$K$3</f>
        <v>17.408888888888889</v>
      </c>
      <c r="Q9" s="109">
        <v>4</v>
      </c>
      <c r="R9" s="99">
        <v>7.2196671899529039E-2</v>
      </c>
      <c r="S9" s="99">
        <v>0.57694999999999996</v>
      </c>
      <c r="T9" s="99">
        <v>1.0062305898749038E-2</v>
      </c>
      <c r="U9" s="66">
        <v>1.4999999999999999E-2</v>
      </c>
      <c r="V9" s="66">
        <v>1E-3</v>
      </c>
      <c r="W9" s="99">
        <f t="shared" si="1"/>
        <v>3.2350426154721581</v>
      </c>
      <c r="X9" s="99">
        <f>(S9-$S$3)/$S$3</f>
        <v>37.463333333333331</v>
      </c>
      <c r="Y9" s="109">
        <v>7.3666666669999996</v>
      </c>
      <c r="Z9" s="99">
        <v>8.2414589310526282E-2</v>
      </c>
      <c r="AA9" s="99">
        <v>0.59226666666666672</v>
      </c>
      <c r="AB9" s="99">
        <v>3.115498889958597E-2</v>
      </c>
      <c r="AC9" s="66">
        <v>1.4999999999999999E-2</v>
      </c>
      <c r="AD9" s="66">
        <v>1E-3</v>
      </c>
      <c r="AE9" s="99">
        <f t="shared" si="2"/>
        <v>4.7092955562686942</v>
      </c>
      <c r="AF9" s="104">
        <f>(AA9-$AA$3)/$AA$3</f>
        <v>38.484444444444449</v>
      </c>
      <c r="AG9" s="109">
        <v>24.066700000000001</v>
      </c>
      <c r="AH9" s="99">
        <v>0.14862588192327747</v>
      </c>
      <c r="AI9" s="99">
        <v>0.81766666666666654</v>
      </c>
      <c r="AJ9" s="99">
        <v>3.0713731999438408E-2</v>
      </c>
      <c r="AK9" s="66">
        <v>1.4999999999999999E-2</v>
      </c>
      <c r="AL9" s="66">
        <v>1E-3</v>
      </c>
      <c r="AM9" s="99">
        <f t="shared" si="3"/>
        <v>5.6816562073699677</v>
      </c>
      <c r="AN9" s="99">
        <f>(AI9-$AI$3)/$AI$3</f>
        <v>53.511111111111106</v>
      </c>
      <c r="AO9" s="109">
        <v>54.083300000000001</v>
      </c>
      <c r="AP9" s="99">
        <v>0.15957256424410687</v>
      </c>
      <c r="AQ9" s="99">
        <v>0.83823076900000004</v>
      </c>
      <c r="AR9" s="104">
        <f>(AQ9-$AQ$3)/$AQ$3</f>
        <v>54.882051266666672</v>
      </c>
    </row>
    <row r="10" spans="1:44" x14ac:dyDescent="0.25">
      <c r="A10" s="97">
        <v>3</v>
      </c>
      <c r="B10" s="98">
        <v>0.20204292509196567</v>
      </c>
      <c r="C10" s="99">
        <v>1.1669901960784317</v>
      </c>
      <c r="D10" s="99">
        <v>0.12322174337029823</v>
      </c>
      <c r="E10" s="66">
        <v>1.4999999999999999E-2</v>
      </c>
      <c r="F10" s="66">
        <v>1E-3</v>
      </c>
      <c r="G10" s="99">
        <f>D10/E10+C10/(E10^2)*F10</f>
        <v>13.401405985035135</v>
      </c>
      <c r="H10" s="99">
        <f>(C10-$C$3)/$C$3</f>
        <v>76.799346405228789</v>
      </c>
      <c r="I10" s="109">
        <v>1.5</v>
      </c>
      <c r="J10" s="99">
        <v>5.7392068885648809E-2</v>
      </c>
      <c r="K10" s="99">
        <v>0.3924333333333333</v>
      </c>
      <c r="L10" s="99">
        <v>4.1905051405926333E-2</v>
      </c>
      <c r="M10" s="66">
        <v>1.4999999999999999E-2</v>
      </c>
      <c r="N10" s="66">
        <v>1E-3</v>
      </c>
      <c r="O10" s="99">
        <f t="shared" si="0"/>
        <v>4.53781824187657</v>
      </c>
      <c r="P10" s="99">
        <f>(K10-$K$3)/$K$3</f>
        <v>25.162222222222219</v>
      </c>
      <c r="Q10" s="109">
        <v>5</v>
      </c>
      <c r="R10" s="99">
        <v>9.0245839874411302E-2</v>
      </c>
      <c r="S10" s="99">
        <v>0.68789999999999996</v>
      </c>
      <c r="T10" s="99">
        <v>1.565247584249839E-2</v>
      </c>
      <c r="U10" s="66">
        <v>1.4999999999999999E-2</v>
      </c>
      <c r="V10" s="66">
        <v>1E-3</v>
      </c>
      <c r="W10" s="99">
        <f t="shared" si="1"/>
        <v>4.1008317228332256</v>
      </c>
      <c r="X10" s="99">
        <f>(S10-$S$3)/$S$3</f>
        <v>44.86</v>
      </c>
      <c r="Y10" s="109">
        <v>9.9</v>
      </c>
      <c r="Z10" s="99">
        <v>0.11075625802768663</v>
      </c>
      <c r="AA10" s="99">
        <v>0.76746666666666674</v>
      </c>
      <c r="AB10" s="99">
        <v>2.059449764702535E-2</v>
      </c>
      <c r="AC10" s="66">
        <v>1.4999999999999999E-2</v>
      </c>
      <c r="AD10" s="66">
        <v>1E-3</v>
      </c>
      <c r="AE10" s="99">
        <f t="shared" si="2"/>
        <v>4.7839294727646537</v>
      </c>
      <c r="AF10" s="104">
        <f>(AA10-$AA$3)/$AA$3</f>
        <v>50.164444444444449</v>
      </c>
      <c r="AG10" s="109">
        <v>28.8</v>
      </c>
      <c r="AH10" s="99">
        <v>0.17785676471599307</v>
      </c>
      <c r="AI10" s="99">
        <v>0.95799999999999996</v>
      </c>
      <c r="AJ10" s="99">
        <v>2.3725513693068811E-2</v>
      </c>
      <c r="AK10" s="66">
        <v>1.4999999999999999E-2</v>
      </c>
      <c r="AL10" s="66">
        <v>1E-3</v>
      </c>
      <c r="AM10" s="99">
        <f t="shared" si="3"/>
        <v>5.839478690649031</v>
      </c>
      <c r="AN10" s="99">
        <f>(AI10-$AI$3)/$AI$3</f>
        <v>62.866666666666667</v>
      </c>
      <c r="AO10" s="109">
        <v>71.816699999999997</v>
      </c>
      <c r="AP10" s="99">
        <v>0.21189489129823347</v>
      </c>
      <c r="AQ10" s="99">
        <v>1.0629999999999999</v>
      </c>
      <c r="AR10" s="104">
        <f>(AQ10-$AQ$3)/$AQ$3</f>
        <v>69.866666666666674</v>
      </c>
    </row>
    <row r="11" spans="1:44" x14ac:dyDescent="0.25">
      <c r="A11" s="97">
        <v>4</v>
      </c>
      <c r="B11" s="98">
        <v>0.26939056678928752</v>
      </c>
      <c r="C11" s="99">
        <v>1.4250000000000003</v>
      </c>
      <c r="D11" s="99">
        <v>0.13788486245457685</v>
      </c>
      <c r="E11" s="66">
        <v>1.4999999999999999E-2</v>
      </c>
      <c r="F11" s="66">
        <v>1E-3</v>
      </c>
      <c r="G11" s="99">
        <f>D11/E11+C11/(E11^2)*F11</f>
        <v>15.525657496971792</v>
      </c>
      <c r="H11" s="99">
        <f>(C11-$C$3)/$C$3</f>
        <v>94.000000000000028</v>
      </c>
      <c r="I11" s="109">
        <v>2</v>
      </c>
      <c r="J11" s="99">
        <v>7.6522758514198416E-2</v>
      </c>
      <c r="K11" s="99">
        <v>0.54186666666666672</v>
      </c>
      <c r="L11" s="99">
        <v>3.9704323861933809E-2</v>
      </c>
      <c r="M11" s="66">
        <v>1.4999999999999999E-2</v>
      </c>
      <c r="N11" s="66">
        <v>1E-3</v>
      </c>
      <c r="O11" s="99">
        <f t="shared" si="0"/>
        <v>5.0552512204252169</v>
      </c>
      <c r="P11" s="99">
        <f>(K11-$K$3)/$K$3</f>
        <v>35.12444444444445</v>
      </c>
      <c r="Q11" s="109">
        <v>7.3666666669999996</v>
      </c>
      <c r="R11" s="99">
        <v>0.13296220408764903</v>
      </c>
      <c r="S11" s="99">
        <v>0.88834999999999997</v>
      </c>
      <c r="T11" s="99">
        <v>2.6609208932247445E-2</v>
      </c>
      <c r="U11" s="66">
        <v>1.4999999999999999E-2</v>
      </c>
      <c r="V11" s="66">
        <v>1E-3</v>
      </c>
      <c r="W11" s="99">
        <f t="shared" si="1"/>
        <v>5.7221694843720519</v>
      </c>
      <c r="X11" s="99">
        <f>(S11-$S$3)/$S$3</f>
        <v>58.223333333333336</v>
      </c>
      <c r="Y11" s="109">
        <v>12.5</v>
      </c>
      <c r="Z11" s="99">
        <v>0.13984376013596797</v>
      </c>
      <c r="AA11" s="99">
        <v>0.91273333333333329</v>
      </c>
      <c r="AB11" s="99">
        <v>3.7478438245654451E-2</v>
      </c>
      <c r="AC11" s="66">
        <v>1.4999999999999999E-2</v>
      </c>
      <c r="AD11" s="66">
        <v>1E-3</v>
      </c>
      <c r="AE11" s="99">
        <f t="shared" si="2"/>
        <v>6.5551551423028904</v>
      </c>
      <c r="AF11" s="104">
        <f>(AA11-$AA$3)/$AA$3</f>
        <v>59.848888888888887</v>
      </c>
      <c r="AG11" s="109">
        <v>47.916699999999999</v>
      </c>
      <c r="AH11" s="99">
        <v>0.29591351520370923</v>
      </c>
      <c r="AI11" s="99">
        <v>1.4078333333333333</v>
      </c>
      <c r="AJ11" s="99">
        <v>5.7080936689347744E-2</v>
      </c>
      <c r="AK11" s="66">
        <v>1.4999999999999999E-2</v>
      </c>
      <c r="AL11" s="66">
        <v>1E-3</v>
      </c>
      <c r="AM11" s="99">
        <f t="shared" si="3"/>
        <v>10.062432816326886</v>
      </c>
      <c r="AN11" s="99">
        <f>(AI11-$AI$3)/$AI$3</f>
        <v>92.855555555555554</v>
      </c>
      <c r="AO11" s="109">
        <v>77.133300000000006</v>
      </c>
      <c r="AP11" s="99">
        <v>0.22758149871790312</v>
      </c>
      <c r="AQ11" s="99">
        <v>1.125769231</v>
      </c>
      <c r="AR11" s="104">
        <f>(AQ11-$AQ$3)/$AQ$3</f>
        <v>74.051282066666673</v>
      </c>
    </row>
    <row r="12" spans="1:44" x14ac:dyDescent="0.25">
      <c r="A12" s="97">
        <v>5</v>
      </c>
      <c r="B12" s="98">
        <v>0.3367382084866094</v>
      </c>
      <c r="C12" s="99">
        <v>1.6229999999999998</v>
      </c>
      <c r="D12" s="99">
        <v>0.15383423087283077</v>
      </c>
      <c r="E12" s="66">
        <v>1.4999999999999999E-2</v>
      </c>
      <c r="F12" s="66">
        <v>1E-3</v>
      </c>
      <c r="G12" s="99">
        <f>D12/E12+C12/(E12^2)*F12</f>
        <v>17.468948724855384</v>
      </c>
      <c r="H12" s="99">
        <f>(C12-$C$3)/$C$3</f>
        <v>107.19999999999999</v>
      </c>
      <c r="I12" s="109">
        <v>3</v>
      </c>
      <c r="J12" s="99">
        <v>0.11478413777129762</v>
      </c>
      <c r="K12" s="99">
        <v>0.70640000000000003</v>
      </c>
      <c r="L12" s="99">
        <v>0.10040268920701273</v>
      </c>
      <c r="M12" s="66">
        <v>1.4999999999999999E-2</v>
      </c>
      <c r="N12" s="66">
        <v>1E-3</v>
      </c>
      <c r="O12" s="99">
        <f t="shared" si="0"/>
        <v>9.8330681693564053</v>
      </c>
      <c r="P12" s="99">
        <f>(K12-$K$3)/$K$3</f>
        <v>46.093333333333334</v>
      </c>
      <c r="Q12" s="109">
        <v>9.9</v>
      </c>
      <c r="R12" s="99">
        <v>0.17868676295133437</v>
      </c>
      <c r="S12" s="99">
        <v>1.1132000000000002</v>
      </c>
      <c r="T12" s="99">
        <v>3.9354796403996334E-2</v>
      </c>
      <c r="U12" s="66">
        <v>1.4999999999999999E-2</v>
      </c>
      <c r="V12" s="66">
        <v>1E-3</v>
      </c>
      <c r="W12" s="99">
        <f t="shared" si="1"/>
        <v>7.5712086491553121</v>
      </c>
      <c r="X12" s="99">
        <f>(S12-$S$3)/$S$3</f>
        <v>73.213333333333352</v>
      </c>
      <c r="Y12" s="109">
        <v>19.733333330000001</v>
      </c>
      <c r="Z12" s="99">
        <v>0.22076668263068974</v>
      </c>
      <c r="AA12" s="99">
        <v>1.2679</v>
      </c>
      <c r="AB12" s="99">
        <v>4.0695208563171062E-2</v>
      </c>
      <c r="AC12" s="66">
        <v>1.4999999999999999E-2</v>
      </c>
      <c r="AD12" s="66">
        <v>1E-3</v>
      </c>
      <c r="AE12" s="99">
        <f t="shared" si="2"/>
        <v>8.3481250153225162</v>
      </c>
      <c r="AF12" s="104">
        <f>(AA12-$AA$3)/$AA$3</f>
        <v>83.526666666666685</v>
      </c>
      <c r="AG12" s="109">
        <v>54.533299999999997</v>
      </c>
      <c r="AH12" s="99">
        <v>0.33677487178078697</v>
      </c>
      <c r="AI12" s="99">
        <v>1.5794666666666666</v>
      </c>
      <c r="AJ12" s="99">
        <v>3.0186641637209927E-2</v>
      </c>
      <c r="AK12" s="66">
        <v>1.4999999999999999E-2</v>
      </c>
      <c r="AL12" s="66">
        <v>1E-3</v>
      </c>
      <c r="AM12" s="99">
        <f t="shared" si="3"/>
        <v>9.0322946276658467</v>
      </c>
      <c r="AN12" s="99">
        <f>(AI12-$AI$3)/$AI$3</f>
        <v>104.29777777777778</v>
      </c>
      <c r="AO12" s="109">
        <v>99.099999999999895</v>
      </c>
      <c r="AP12" s="99">
        <v>0.2923941607962342</v>
      </c>
      <c r="AQ12" s="99">
        <v>1.3623076919999999</v>
      </c>
      <c r="AR12" s="104">
        <f>(AQ12-$AQ$3)/$AQ$3</f>
        <v>89.820512800000003</v>
      </c>
    </row>
    <row r="13" spans="1:44" x14ac:dyDescent="0.25">
      <c r="A13" s="97">
        <v>7.36666666666666</v>
      </c>
      <c r="B13" s="98">
        <v>0.49612762717027076</v>
      </c>
      <c r="C13" s="99">
        <v>1.859</v>
      </c>
      <c r="D13" s="99">
        <v>0.17407106391964655</v>
      </c>
      <c r="E13" s="66">
        <v>1.4999999999999999E-2</v>
      </c>
      <c r="F13" s="66">
        <v>1E-3</v>
      </c>
      <c r="G13" s="99">
        <f>D13/E13+C13/(E13^2)*F13</f>
        <v>19.866959816865325</v>
      </c>
      <c r="H13" s="99">
        <f>(C13-$C$3)/$C$3</f>
        <v>122.93333333333334</v>
      </c>
      <c r="I13" s="109">
        <v>3.5</v>
      </c>
      <c r="J13" s="99">
        <v>0.13391482739984722</v>
      </c>
      <c r="K13" s="99">
        <v>0.91683333333333328</v>
      </c>
      <c r="L13" s="99">
        <v>0.1117910252808037</v>
      </c>
      <c r="M13" s="66">
        <v>1.4999999999999999E-2</v>
      </c>
      <c r="N13" s="66">
        <v>1E-3</v>
      </c>
      <c r="O13" s="99">
        <f t="shared" si="0"/>
        <v>11.527549833535062</v>
      </c>
      <c r="P13" s="99">
        <f>(K13-$K$3)/$K$3</f>
        <v>60.12222222222222</v>
      </c>
      <c r="Q13" s="109">
        <v>12.5</v>
      </c>
      <c r="R13" s="99">
        <v>0.22561459968602826</v>
      </c>
      <c r="S13" s="99">
        <v>1.3189</v>
      </c>
      <c r="T13" s="99">
        <v>2.7727242920997118E-2</v>
      </c>
      <c r="U13" s="66">
        <v>1.4999999999999999E-2</v>
      </c>
      <c r="V13" s="66">
        <v>1E-3</v>
      </c>
      <c r="W13" s="99">
        <f t="shared" si="1"/>
        <v>7.7102606391775854</v>
      </c>
      <c r="X13" s="99">
        <f>(S13-$S$3)/$S$3</f>
        <v>86.926666666666677</v>
      </c>
      <c r="Y13" s="109">
        <v>23.95</v>
      </c>
      <c r="Z13" s="99">
        <v>0.26794064442051457</v>
      </c>
      <c r="AA13" s="99">
        <v>1.4387666666666665</v>
      </c>
      <c r="AB13" s="99">
        <v>4.5858841386730943E-2</v>
      </c>
      <c r="AC13" s="66">
        <v>1.4999999999999999E-2</v>
      </c>
      <c r="AD13" s="66">
        <v>1E-3</v>
      </c>
      <c r="AE13" s="99">
        <f t="shared" si="2"/>
        <v>9.4517746109672487</v>
      </c>
      <c r="AF13" s="104">
        <f>(AA13-$AA$3)/$AA$3</f>
        <v>94.917777777777772</v>
      </c>
      <c r="AG13" s="109">
        <v>72.183300000000003</v>
      </c>
      <c r="AH13" s="99">
        <v>0.44577389599041473</v>
      </c>
      <c r="AI13" s="99">
        <v>1.7662000000000002</v>
      </c>
      <c r="AJ13" s="99">
        <v>8.6895339345674949E-2</v>
      </c>
      <c r="AK13" s="66">
        <v>1.4999999999999999E-2</v>
      </c>
      <c r="AL13" s="66">
        <v>1E-3</v>
      </c>
      <c r="AM13" s="99">
        <f t="shared" si="3"/>
        <v>13.642800400822775</v>
      </c>
      <c r="AN13" s="99">
        <f>(AI13-$AI$3)/$AI$3</f>
        <v>116.7466666666667</v>
      </c>
      <c r="AO13" s="109">
        <v>120.1</v>
      </c>
      <c r="AP13" s="99">
        <v>0.35435457832116818</v>
      </c>
      <c r="AQ13" s="99">
        <v>1.51</v>
      </c>
      <c r="AR13" s="104">
        <f>(AQ13-$AQ$3)/$AQ$3</f>
        <v>99.666666666666671</v>
      </c>
    </row>
    <row r="14" spans="1:44" x14ac:dyDescent="0.25">
      <c r="A14" s="97">
        <v>9.9</v>
      </c>
      <c r="B14" s="98">
        <v>0.66674165280348674</v>
      </c>
      <c r="C14" s="99">
        <v>1.9359901960784276</v>
      </c>
      <c r="D14" s="99">
        <v>2.1008635012728746E-2</v>
      </c>
      <c r="E14" s="66">
        <v>1.4999999999999999E-2</v>
      </c>
      <c r="F14" s="66">
        <v>1E-3</v>
      </c>
      <c r="G14" s="99">
        <f>D14/E14+C14/(E14^2)*F14</f>
        <v>10.004976538974928</v>
      </c>
      <c r="H14" s="99">
        <f>(C14-$C$3)/$C$3</f>
        <v>128.06601307189518</v>
      </c>
      <c r="I14" s="109">
        <v>4.5</v>
      </c>
      <c r="J14" s="99">
        <v>0.17217620665694644</v>
      </c>
      <c r="K14" s="99">
        <v>1.1169000000000002</v>
      </c>
      <c r="L14" s="99">
        <v>0.14341164527331801</v>
      </c>
      <c r="M14" s="66">
        <v>1.4999999999999999E-2</v>
      </c>
      <c r="N14" s="66">
        <v>1E-3</v>
      </c>
      <c r="O14" s="99">
        <f t="shared" si="0"/>
        <v>14.524776351554536</v>
      </c>
      <c r="P14" s="99">
        <f>(K14-$K$3)/$K$3</f>
        <v>73.460000000000022</v>
      </c>
      <c r="Q14" s="109">
        <v>23.95</v>
      </c>
      <c r="R14" s="99">
        <v>0.43227757299843012</v>
      </c>
      <c r="S14" s="99">
        <v>1.7840499999999999</v>
      </c>
      <c r="T14" s="99">
        <v>0.21533334623322914</v>
      </c>
      <c r="U14" s="66">
        <v>1.4999999999999999E-2</v>
      </c>
      <c r="V14" s="66">
        <v>1E-3</v>
      </c>
      <c r="W14" s="99">
        <f t="shared" si="1"/>
        <v>22.284667526659721</v>
      </c>
      <c r="X14" s="99">
        <f>(S14-$S$3)/$S$3</f>
        <v>117.93666666666667</v>
      </c>
      <c r="Y14" s="109">
        <v>27.633333329999999</v>
      </c>
      <c r="Z14" s="99">
        <v>0.30914793903662147</v>
      </c>
      <c r="AA14" s="99">
        <v>1.5597333333333334</v>
      </c>
      <c r="AB14" s="99">
        <v>4.8545167971007566E-2</v>
      </c>
      <c r="AC14" s="66">
        <v>1.4999999999999999E-2</v>
      </c>
      <c r="AD14" s="66">
        <v>1E-3</v>
      </c>
      <c r="AE14" s="99">
        <f t="shared" si="2"/>
        <v>10.168492679548653</v>
      </c>
      <c r="AF14" s="104">
        <f>(AA14-$AA$3)/$AA$3</f>
        <v>102.98222222222223</v>
      </c>
      <c r="AG14" s="109">
        <v>77.583299999999895</v>
      </c>
      <c r="AH14" s="99">
        <v>0.47912203937466274</v>
      </c>
      <c r="AI14" s="99">
        <v>1.8429999999999995</v>
      </c>
      <c r="AJ14" s="99">
        <v>0.13738231327212425</v>
      </c>
      <c r="AK14" s="66">
        <v>1.4999999999999999E-2</v>
      </c>
      <c r="AL14" s="66">
        <v>1E-3</v>
      </c>
      <c r="AM14" s="99">
        <f t="shared" si="3"/>
        <v>17.349931995919391</v>
      </c>
      <c r="AN14" s="99">
        <f>(AI14-$AI$3)/$AI$3</f>
        <v>121.86666666666665</v>
      </c>
      <c r="AO14" s="109">
        <v>144.15</v>
      </c>
      <c r="AP14" s="99">
        <v>0.42531400886758031</v>
      </c>
      <c r="AQ14" s="99">
        <v>1.671538462</v>
      </c>
      <c r="AR14" s="104">
        <f>(AQ14-$AQ$3)/$AQ$3</f>
        <v>110.43589746666667</v>
      </c>
    </row>
    <row r="15" spans="1:44" x14ac:dyDescent="0.25">
      <c r="A15" s="97">
        <v>12.5</v>
      </c>
      <c r="B15" s="98">
        <v>0.84184552121652356</v>
      </c>
      <c r="C15" s="99">
        <v>1.9429901960784315</v>
      </c>
      <c r="D15" s="99">
        <v>7.1772174956867912E-2</v>
      </c>
      <c r="E15" s="66">
        <v>1.4999999999999999E-2</v>
      </c>
      <c r="F15" s="66">
        <v>1E-3</v>
      </c>
      <c r="G15" s="99">
        <f>D15/E15+C15/(E15^2)*F15</f>
        <v>13.420323646362</v>
      </c>
      <c r="H15" s="99">
        <f>(C15-$C$3)/$C$3</f>
        <v>128.53267973856211</v>
      </c>
      <c r="I15" s="109">
        <v>5.5</v>
      </c>
      <c r="J15" s="99">
        <v>0.21043758591404563</v>
      </c>
      <c r="K15" s="99">
        <v>1.2806666666666666</v>
      </c>
      <c r="L15" s="99">
        <v>0.1178797409792425</v>
      </c>
      <c r="M15" s="66">
        <v>1.4999999999999999E-2</v>
      </c>
      <c r="N15" s="66">
        <v>1E-3</v>
      </c>
      <c r="O15" s="99">
        <f t="shared" si="0"/>
        <v>13.55050125046802</v>
      </c>
      <c r="P15" s="99">
        <f>(K15-$K$3)/$K$3</f>
        <v>84.37777777777778</v>
      </c>
      <c r="Q15" s="109">
        <v>27.633333329999999</v>
      </c>
      <c r="R15" s="99">
        <v>0.49875867497908255</v>
      </c>
      <c r="S15" s="99">
        <v>1.8569000000000002</v>
      </c>
      <c r="T15" s="99">
        <v>0.15920803999798494</v>
      </c>
      <c r="U15" s="66">
        <v>1.4999999999999999E-2</v>
      </c>
      <c r="V15" s="66">
        <v>1E-3</v>
      </c>
      <c r="W15" s="99">
        <f t="shared" si="1"/>
        <v>18.866758222087888</v>
      </c>
      <c r="X15" s="99">
        <f>(S15-$S$3)/$S$3</f>
        <v>122.79333333333336</v>
      </c>
      <c r="Y15" s="109">
        <v>32.1</v>
      </c>
      <c r="Z15" s="99">
        <v>0.35911877602916575</v>
      </c>
      <c r="AA15" s="99">
        <v>1.6773666666666667</v>
      </c>
      <c r="AB15" s="99">
        <v>4.9072735131978469E-2</v>
      </c>
      <c r="AC15" s="66">
        <v>1.4999999999999999E-2</v>
      </c>
      <c r="AD15" s="66">
        <v>1E-3</v>
      </c>
      <c r="AE15" s="99">
        <f t="shared" si="2"/>
        <v>10.726478638428194</v>
      </c>
      <c r="AF15" s="104">
        <f>(AA15-$AA$3)/$AA$3</f>
        <v>110.82444444444445</v>
      </c>
      <c r="AG15" s="109">
        <v>99.55</v>
      </c>
      <c r="AH15" s="99">
        <v>0.61477919887073296</v>
      </c>
      <c r="AI15" s="99">
        <v>1.8821333333333332</v>
      </c>
      <c r="AJ15" s="99">
        <v>0.10915371424433221</v>
      </c>
      <c r="AK15" s="66">
        <v>1.4999999999999999E-2</v>
      </c>
      <c r="AL15" s="66">
        <v>1E-3</v>
      </c>
      <c r="AM15" s="99">
        <f t="shared" si="3"/>
        <v>15.641951319992518</v>
      </c>
      <c r="AN15" s="99">
        <f>(AI15-$AI$3)/$AI$3</f>
        <v>124.47555555555556</v>
      </c>
      <c r="AO15" s="109">
        <v>167.88300000000001</v>
      </c>
      <c r="AP15" s="99">
        <v>0.49533813215897321</v>
      </c>
      <c r="AQ15" s="99">
        <v>1.7618461540000001</v>
      </c>
      <c r="AR15" s="104">
        <f>(AQ15-$AQ$3)/$AQ$3</f>
        <v>116.45641026666668</v>
      </c>
    </row>
    <row r="16" spans="1:44" ht="15.75" thickBot="1" x14ac:dyDescent="0.3">
      <c r="A16" s="100">
        <v>19.733333333333299</v>
      </c>
      <c r="B16" s="101">
        <v>1.3289934628271496</v>
      </c>
      <c r="C16" s="102">
        <v>1.9439901960784316</v>
      </c>
      <c r="D16" s="102">
        <v>0.14500206218952802</v>
      </c>
      <c r="E16" s="11">
        <v>1.4999999999999999E-2</v>
      </c>
      <c r="F16" s="11">
        <v>1E-3</v>
      </c>
      <c r="G16" s="102">
        <f>D16/E16+C16/(E16^2)*F16</f>
        <v>18.306760572983784</v>
      </c>
      <c r="H16" s="102">
        <f>(C16-$C$3)/$C$3</f>
        <v>128.59934640522877</v>
      </c>
      <c r="I16" s="109">
        <v>6.6666666666666599</v>
      </c>
      <c r="J16" s="99">
        <v>0.25507586171399443</v>
      </c>
      <c r="K16" s="99">
        <v>1.4354666666666664</v>
      </c>
      <c r="L16" s="99">
        <v>0.16981440849743382</v>
      </c>
      <c r="M16" s="66">
        <v>1.4999999999999999E-2</v>
      </c>
      <c r="N16" s="66">
        <v>1E-3</v>
      </c>
      <c r="O16" s="99">
        <f t="shared" si="0"/>
        <v>17.700812418347439</v>
      </c>
      <c r="P16" s="99">
        <f>(K16-$K$3)/$K$3</f>
        <v>94.697777777777773</v>
      </c>
      <c r="Q16" s="109">
        <v>32.1</v>
      </c>
      <c r="R16" s="99">
        <v>0.5793782919937206</v>
      </c>
      <c r="S16" s="99">
        <v>1.8993499999999996</v>
      </c>
      <c r="T16" s="99">
        <v>9.1007966684241437E-2</v>
      </c>
      <c r="U16" s="66">
        <v>1.4999999999999999E-2</v>
      </c>
      <c r="V16" s="66">
        <v>1E-3</v>
      </c>
      <c r="W16" s="99">
        <f t="shared" si="1"/>
        <v>14.508753334504984</v>
      </c>
      <c r="X16" s="99">
        <f>(S16-$S$3)/$S$3</f>
        <v>125.62333333333332</v>
      </c>
      <c r="Y16" s="109">
        <v>36.549999999999997</v>
      </c>
      <c r="Z16" s="99">
        <v>0.40890315463757027</v>
      </c>
      <c r="AA16" s="99">
        <v>1.7734333333333332</v>
      </c>
      <c r="AB16" s="99">
        <v>2.4536367565989536E-2</v>
      </c>
      <c r="AC16" s="66">
        <v>1.4999999999999999E-2</v>
      </c>
      <c r="AD16" s="66">
        <v>1E-3</v>
      </c>
      <c r="AE16" s="99">
        <f t="shared" si="2"/>
        <v>9.5176837636585603</v>
      </c>
      <c r="AF16" s="104">
        <f>(AA16-$AA$3)/$AA$3</f>
        <v>117.22888888888889</v>
      </c>
      <c r="AG16" s="110">
        <v>168.28299999999999</v>
      </c>
      <c r="AH16" s="102">
        <v>1.0392454839132452</v>
      </c>
      <c r="AI16" s="102">
        <v>1.9291666666666667</v>
      </c>
      <c r="AJ16" s="102">
        <v>0.17603190998604043</v>
      </c>
      <c r="AK16" s="11">
        <v>1.4999999999999999E-2</v>
      </c>
      <c r="AL16" s="11">
        <v>1E-3</v>
      </c>
      <c r="AM16" s="102">
        <f t="shared" si="3"/>
        <v>20.309534739810104</v>
      </c>
      <c r="AN16" s="102">
        <f>(AI16-$AI$3)/$AI$3</f>
        <v>127.61111111111113</v>
      </c>
      <c r="AO16" s="109">
        <v>191.417</v>
      </c>
      <c r="AP16" s="99">
        <v>0.56477510673191555</v>
      </c>
      <c r="AQ16" s="99">
        <v>1.8276153850000001</v>
      </c>
      <c r="AR16" s="104">
        <f>(AQ16-$AQ$3)/$AQ$3</f>
        <v>120.84102566666668</v>
      </c>
    </row>
    <row r="17" spans="9:44" x14ac:dyDescent="0.25">
      <c r="I17" s="109">
        <v>8.1666666666666607</v>
      </c>
      <c r="J17" s="99">
        <v>0.31246793059964328</v>
      </c>
      <c r="K17" s="99">
        <v>1.6119666666666663</v>
      </c>
      <c r="L17" s="99">
        <v>0.20665583304938004</v>
      </c>
      <c r="M17" s="66">
        <v>1.4999999999999999E-2</v>
      </c>
      <c r="N17" s="66">
        <v>1E-3</v>
      </c>
      <c r="O17" s="99">
        <f t="shared" si="0"/>
        <v>20.941351832921633</v>
      </c>
      <c r="P17" s="99">
        <f>(K17-$K$3)/$K$3</f>
        <v>106.46444444444444</v>
      </c>
      <c r="Q17" s="109">
        <v>36.549999999999997</v>
      </c>
      <c r="R17" s="99">
        <v>0.65969708948194661</v>
      </c>
      <c r="S17" s="99">
        <v>1.9146999999999998</v>
      </c>
      <c r="T17" s="99">
        <v>0.13371686505448799</v>
      </c>
      <c r="U17" s="66">
        <v>1.4999999999999999E-2</v>
      </c>
      <c r="V17" s="66">
        <v>1E-3</v>
      </c>
      <c r="W17" s="99">
        <f t="shared" si="1"/>
        <v>17.424235448076978</v>
      </c>
      <c r="X17" s="99">
        <f>(S17-$S$3)/$S$3</f>
        <v>126.64666666666666</v>
      </c>
      <c r="Y17" s="109">
        <v>45.766666669999999</v>
      </c>
      <c r="Z17" s="99">
        <v>0.51201462048178237</v>
      </c>
      <c r="AA17" s="99">
        <v>1.8712999999999997</v>
      </c>
      <c r="AB17" s="99">
        <v>3.3276117561999462E-2</v>
      </c>
      <c r="AC17" s="66">
        <v>1.4999999999999999E-2</v>
      </c>
      <c r="AD17" s="66">
        <v>1E-3</v>
      </c>
      <c r="AE17" s="99">
        <f t="shared" si="2"/>
        <v>10.535296726355519</v>
      </c>
      <c r="AF17" s="104">
        <f>(AA17-$AA$3)/$AA$3</f>
        <v>123.75333333333333</v>
      </c>
      <c r="AG17" s="99"/>
      <c r="AH17" s="99"/>
      <c r="AO17" s="109">
        <v>215.084</v>
      </c>
      <c r="AP17" s="99">
        <v>0.63460449728251578</v>
      </c>
      <c r="AQ17" s="99">
        <v>1.8511538460000001</v>
      </c>
      <c r="AR17" s="104">
        <f>(AQ17-$AQ$3)/$AQ$3</f>
        <v>122.41025640000002</v>
      </c>
    </row>
    <row r="18" spans="9:44" x14ac:dyDescent="0.25">
      <c r="I18" s="109">
        <v>10.6666666666666</v>
      </c>
      <c r="J18" s="99">
        <v>0.40812137874238902</v>
      </c>
      <c r="K18" s="99">
        <v>1.8007333333333335</v>
      </c>
      <c r="L18" s="99">
        <v>0.24875014237851875</v>
      </c>
      <c r="M18" s="66">
        <v>1.4999999999999999E-2</v>
      </c>
      <c r="N18" s="66">
        <v>1E-3</v>
      </c>
      <c r="O18" s="99">
        <f t="shared" si="0"/>
        <v>24.586602084493848</v>
      </c>
      <c r="P18" s="99">
        <f>(K18-$K$3)/$K$3</f>
        <v>119.04888888888891</v>
      </c>
      <c r="Q18" s="109">
        <v>45.766666669999999</v>
      </c>
      <c r="R18" s="99">
        <v>0.82605025437727531</v>
      </c>
      <c r="S18" s="99">
        <v>1.9177</v>
      </c>
      <c r="T18" s="99">
        <v>0.1399778553914863</v>
      </c>
      <c r="U18" s="66">
        <v>1.4999999999999999E-2</v>
      </c>
      <c r="V18" s="66">
        <v>1E-3</v>
      </c>
      <c r="W18" s="99">
        <f t="shared" si="1"/>
        <v>17.8549681372102</v>
      </c>
      <c r="X18" s="99">
        <f>(S18-$S$3)/$S$3</f>
        <v>126.84666666666668</v>
      </c>
      <c r="Y18" s="109">
        <v>52.266666669999999</v>
      </c>
      <c r="Z18" s="99">
        <v>0.58473337575248563</v>
      </c>
      <c r="AA18" s="99">
        <v>1.9068000000000001</v>
      </c>
      <c r="AB18" s="99">
        <v>1.5770225109363531E-2</v>
      </c>
      <c r="AC18" s="66">
        <v>1.4999999999999999E-2</v>
      </c>
      <c r="AD18" s="66">
        <v>1E-3</v>
      </c>
      <c r="AE18" s="99">
        <f t="shared" si="2"/>
        <v>9.5260150072909031</v>
      </c>
      <c r="AF18" s="104">
        <f>(AA18-$AA$3)/$AA$3</f>
        <v>126.12000000000002</v>
      </c>
      <c r="AG18" s="99"/>
      <c r="AH18" s="99"/>
      <c r="AO18" s="109">
        <v>220.65</v>
      </c>
      <c r="AP18" s="99">
        <v>0.65102695842269576</v>
      </c>
      <c r="AQ18" s="99">
        <v>1.8599230769999999</v>
      </c>
      <c r="AR18" s="104">
        <f>(AQ18-$AQ$3)/$AQ$3</f>
        <v>122.99487180000001</v>
      </c>
    </row>
    <row r="19" spans="9:44" ht="15.75" thickBot="1" x14ac:dyDescent="0.3">
      <c r="I19" s="109">
        <v>12.6666666666666</v>
      </c>
      <c r="J19" s="99">
        <v>0.48464413725658739</v>
      </c>
      <c r="K19" s="99">
        <v>1.8507666666666664</v>
      </c>
      <c r="L19" s="99">
        <v>0.31720424545288384</v>
      </c>
      <c r="M19" s="66">
        <v>1.4999999999999999E-2</v>
      </c>
      <c r="N19" s="66">
        <v>1E-3</v>
      </c>
      <c r="O19" s="99">
        <f t="shared" si="0"/>
        <v>29.372579326488552</v>
      </c>
      <c r="P19" s="99">
        <f>(K19-$K$3)/$K$3</f>
        <v>122.38444444444444</v>
      </c>
      <c r="Q19" s="109">
        <v>52.266666669999999</v>
      </c>
      <c r="R19" s="99">
        <v>0.94336984621400999</v>
      </c>
      <c r="S19" s="99">
        <v>1.9216500000000001</v>
      </c>
      <c r="T19" s="99">
        <v>0.15317065645873609</v>
      </c>
      <c r="U19" s="66">
        <v>1.4999999999999999E-2</v>
      </c>
      <c r="V19" s="66">
        <v>1E-3</v>
      </c>
      <c r="W19" s="99">
        <f t="shared" si="1"/>
        <v>18.752043763915744</v>
      </c>
      <c r="X19" s="99">
        <f>(S19-$S$3)/$S$3</f>
        <v>127.11000000000001</v>
      </c>
      <c r="Y19" s="109">
        <v>60.583333330000002</v>
      </c>
      <c r="Z19" s="99">
        <v>0.67777609075503309</v>
      </c>
      <c r="AA19" s="99">
        <v>1.9281999999999999</v>
      </c>
      <c r="AB19" s="99">
        <v>3.1622776601684242E-2</v>
      </c>
      <c r="AC19" s="66">
        <v>1.4999999999999999E-2</v>
      </c>
      <c r="AD19" s="66">
        <v>1E-3</v>
      </c>
      <c r="AE19" s="99">
        <f t="shared" si="2"/>
        <v>10.677962884556727</v>
      </c>
      <c r="AF19" s="104">
        <f>(AA19-$AA$3)/$AA$3</f>
        <v>127.54666666666667</v>
      </c>
      <c r="AG19" s="99"/>
      <c r="AH19" s="99"/>
      <c r="AO19" s="110">
        <v>235.88300000000001</v>
      </c>
      <c r="AP19" s="102">
        <v>0.6959718650968536</v>
      </c>
      <c r="AQ19" s="102">
        <v>1.8599230769999999</v>
      </c>
      <c r="AR19" s="105">
        <f>(AQ19-$AQ$3)/$AQ$3</f>
        <v>122.99487180000001</v>
      </c>
    </row>
    <row r="20" spans="9:44" x14ac:dyDescent="0.25">
      <c r="I20" s="109">
        <v>13.5833333333333</v>
      </c>
      <c r="J20" s="99">
        <v>0.51971706824226294</v>
      </c>
      <c r="K20" s="99">
        <v>1.8750333333333333</v>
      </c>
      <c r="L20" s="99">
        <v>0.32824447190064504</v>
      </c>
      <c r="M20" s="66">
        <v>1.4999999999999999E-2</v>
      </c>
      <c r="N20" s="66">
        <v>1E-3</v>
      </c>
      <c r="O20" s="99">
        <f t="shared" si="0"/>
        <v>30.21644627485782</v>
      </c>
      <c r="P20" s="99">
        <f>(K20-$K$3)/$K$3</f>
        <v>124.00222222222223</v>
      </c>
      <c r="Q20" s="109">
        <v>60.583333330000002</v>
      </c>
      <c r="R20" s="99">
        <v>1.093478759751453</v>
      </c>
      <c r="S20" s="99">
        <v>1.9216500000000001</v>
      </c>
      <c r="T20" s="99">
        <v>0.15317065645873609</v>
      </c>
      <c r="U20" s="66">
        <v>1.4999999999999999E-2</v>
      </c>
      <c r="V20" s="66">
        <v>1E-3</v>
      </c>
      <c r="W20" s="99">
        <f t="shared" si="1"/>
        <v>18.752043763915744</v>
      </c>
      <c r="X20" s="99">
        <f>(S20-$S$3)/$S$3</f>
        <v>127.11000000000001</v>
      </c>
      <c r="Y20" s="109">
        <v>69.433333329999996</v>
      </c>
      <c r="Z20" s="99">
        <v>0.77678547293129829</v>
      </c>
      <c r="AA20" s="99">
        <v>1.9305333333333334</v>
      </c>
      <c r="AB20" s="99">
        <v>3.3045927636144959E-2</v>
      </c>
      <c r="AC20" s="66">
        <v>1.4999999999999999E-2</v>
      </c>
      <c r="AD20" s="66">
        <v>1E-3</v>
      </c>
      <c r="AE20" s="99">
        <f t="shared" si="2"/>
        <v>10.783209990557813</v>
      </c>
      <c r="AF20" s="104">
        <f>(AA20-$AA$3)/$AA$3</f>
        <v>127.70222222222225</v>
      </c>
      <c r="AG20" s="99"/>
      <c r="AH20" s="99"/>
    </row>
    <row r="21" spans="9:44" x14ac:dyDescent="0.25">
      <c r="I21" s="109">
        <v>21.6666666666666</v>
      </c>
      <c r="J21" s="99">
        <v>0.82899655057048027</v>
      </c>
      <c r="K21" s="99">
        <v>1.9403666666666666</v>
      </c>
      <c r="L21" s="99">
        <v>0.32730189937324433</v>
      </c>
      <c r="M21" s="66">
        <v>1.4999999999999999E-2</v>
      </c>
      <c r="N21" s="66">
        <v>1E-3</v>
      </c>
      <c r="O21" s="99">
        <f t="shared" si="0"/>
        <v>30.443978476734809</v>
      </c>
      <c r="P21" s="99">
        <f>(K21-$K$3)/$K$3</f>
        <v>128.35777777777778</v>
      </c>
      <c r="Q21" s="109">
        <v>69.433333329999996</v>
      </c>
      <c r="R21" s="99">
        <v>1.253213896329161</v>
      </c>
      <c r="S21" s="99">
        <v>1.9216500000000001</v>
      </c>
      <c r="T21" s="99">
        <v>0.15317065645873609</v>
      </c>
      <c r="U21" s="66">
        <v>1.4999999999999999E-2</v>
      </c>
      <c r="V21" s="66">
        <v>1E-3</v>
      </c>
      <c r="W21" s="99">
        <f t="shared" si="1"/>
        <v>18.752043763915744</v>
      </c>
      <c r="X21" s="99">
        <f>(S21-$S$3)/$S$3</f>
        <v>127.11000000000001</v>
      </c>
      <c r="Y21" s="109">
        <v>81.3</v>
      </c>
      <c r="Z21" s="99">
        <v>0.90954381592433553</v>
      </c>
      <c r="AA21" s="99">
        <v>1.9305333333333334</v>
      </c>
      <c r="AB21" s="99">
        <v>3.3045927636144959E-2</v>
      </c>
      <c r="AC21" s="66">
        <v>1.4999999999999999E-2</v>
      </c>
      <c r="AD21" s="66">
        <v>1E-3</v>
      </c>
      <c r="AE21" s="99">
        <f t="shared" si="2"/>
        <v>10.783209990557813</v>
      </c>
      <c r="AF21" s="104">
        <f>(AA21-$AA$3)/$AA$3</f>
        <v>127.70222222222225</v>
      </c>
      <c r="AG21" s="99"/>
      <c r="AH21" s="99"/>
    </row>
    <row r="22" spans="9:44" x14ac:dyDescent="0.25">
      <c r="I22" s="109">
        <v>23.6666666666666</v>
      </c>
      <c r="J22" s="99">
        <v>0.9055193090846787</v>
      </c>
      <c r="K22" s="99">
        <v>1.940366666666667</v>
      </c>
      <c r="L22" s="99">
        <v>0.32761812119193473</v>
      </c>
      <c r="M22" s="66">
        <v>1.4999999999999999E-2</v>
      </c>
      <c r="N22" s="66">
        <v>1E-3</v>
      </c>
      <c r="O22" s="99">
        <f t="shared" si="0"/>
        <v>30.465059931314173</v>
      </c>
      <c r="P22" s="99">
        <f>(K22-$K$3)/$K$3</f>
        <v>128.35777777777781</v>
      </c>
      <c r="Q22" s="109">
        <v>81.3</v>
      </c>
      <c r="R22" s="99">
        <v>1.4673973563579277</v>
      </c>
      <c r="S22" s="99">
        <v>1.9216500000000001</v>
      </c>
      <c r="T22" s="99">
        <v>0.15317065645873609</v>
      </c>
      <c r="U22" s="66">
        <v>1.4999999999999999E-2</v>
      </c>
      <c r="V22" s="66">
        <v>1E-3</v>
      </c>
      <c r="W22" s="99">
        <f t="shared" si="1"/>
        <v>18.752043763915744</v>
      </c>
      <c r="X22" s="99">
        <f>(S22-$S$3)/$S$3</f>
        <v>127.11000000000001</v>
      </c>
      <c r="Y22" s="109">
        <v>101.6833333</v>
      </c>
      <c r="Z22" s="99">
        <v>1.1375823737464708</v>
      </c>
      <c r="AA22" s="99">
        <v>1.9305333333333334</v>
      </c>
      <c r="AB22" s="99">
        <v>3.3045927636144959E-2</v>
      </c>
      <c r="AC22" s="66">
        <v>1.4999999999999999E-2</v>
      </c>
      <c r="AD22" s="66">
        <v>1E-3</v>
      </c>
      <c r="AE22" s="99">
        <f t="shared" si="2"/>
        <v>10.783209990557813</v>
      </c>
      <c r="AF22" s="104">
        <f>(AA22-$AA$3)/$AA$3</f>
        <v>127.70222222222225</v>
      </c>
      <c r="AG22" s="99"/>
      <c r="AH22" s="99"/>
    </row>
    <row r="23" spans="9:44" ht="15.75" thickBot="1" x14ac:dyDescent="0.3">
      <c r="I23" s="110">
        <v>29.666666670000001</v>
      </c>
      <c r="J23" s="102">
        <v>1.1350875847548145</v>
      </c>
      <c r="K23" s="102">
        <v>1.940366666666667</v>
      </c>
      <c r="L23" s="102">
        <v>0.32761812119193473</v>
      </c>
      <c r="M23" s="11">
        <v>1.4999999999999999E-2</v>
      </c>
      <c r="N23" s="11">
        <v>1E-3</v>
      </c>
      <c r="O23" s="102">
        <f t="shared" si="0"/>
        <v>30.465059931314173</v>
      </c>
      <c r="P23" s="102">
        <f>(K23-$K$3)/$K$3</f>
        <v>128.35777777777781</v>
      </c>
      <c r="Q23" s="109">
        <v>101.6833333</v>
      </c>
      <c r="R23" s="99">
        <v>1.835299562977639</v>
      </c>
      <c r="S23" s="99">
        <v>1.9216500000000001</v>
      </c>
      <c r="T23" s="99">
        <v>0.15317065645873609</v>
      </c>
      <c r="U23" s="66">
        <v>1.4999999999999999E-2</v>
      </c>
      <c r="V23" s="66">
        <v>1E-3</v>
      </c>
      <c r="W23" s="99">
        <f t="shared" si="1"/>
        <v>18.752043763915744</v>
      </c>
      <c r="X23" s="99">
        <f>(S23-$S$3)/$S$3</f>
        <v>127.11000000000001</v>
      </c>
      <c r="Y23" s="110">
        <v>128.28333330000001</v>
      </c>
      <c r="Z23" s="102">
        <v>1.4351698953158105</v>
      </c>
      <c r="AA23" s="102">
        <v>1.9305333333333334</v>
      </c>
      <c r="AB23" s="102">
        <v>3.3045927636144959E-2</v>
      </c>
      <c r="AC23" s="11">
        <v>1.4999999999999999E-2</v>
      </c>
      <c r="AD23" s="11">
        <v>1E-3</v>
      </c>
      <c r="AE23" s="102">
        <f t="shared" si="2"/>
        <v>10.783209990557813</v>
      </c>
      <c r="AF23" s="105">
        <f>(AA23-$AA$3)/$AA$3</f>
        <v>127.70222222222225</v>
      </c>
      <c r="AG23" s="99"/>
      <c r="AH23" s="99"/>
    </row>
    <row r="24" spans="9:44" ht="15.75" thickBot="1" x14ac:dyDescent="0.3">
      <c r="Q24" s="110">
        <v>128.28333330000001</v>
      </c>
      <c r="R24" s="102">
        <v>2.3154074311095072</v>
      </c>
      <c r="S24" s="102">
        <v>1.9216500000000001</v>
      </c>
      <c r="T24" s="102">
        <v>0.15317065645873609</v>
      </c>
      <c r="U24" s="11">
        <v>1.4999999999999999E-2</v>
      </c>
      <c r="V24" s="11">
        <v>1E-3</v>
      </c>
      <c r="W24" s="102">
        <f t="shared" si="1"/>
        <v>18.752043763915744</v>
      </c>
      <c r="X24" s="105">
        <f>(S24-$S$3)/$S$3</f>
        <v>127.11000000000001</v>
      </c>
      <c r="Y24" s="99"/>
      <c r="Z24" s="99"/>
    </row>
  </sheetData>
  <mergeCells count="6">
    <mergeCell ref="A1:H1"/>
    <mergeCell ref="I1:P1"/>
    <mergeCell ref="Q1:X1"/>
    <mergeCell ref="Y1:AF1"/>
    <mergeCell ref="AG1:AN1"/>
    <mergeCell ref="AO1:AR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0%</vt:lpstr>
      <vt:lpstr>20%</vt:lpstr>
      <vt:lpstr>40%</vt:lpstr>
      <vt:lpstr>50%</vt:lpstr>
      <vt:lpstr>60%</vt:lpstr>
      <vt:lpstr>70%</vt:lpstr>
      <vt:lpstr>To plot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Sebastián Falcioni</dc:creator>
  <cp:lastModifiedBy>Sebastián Falcioni</cp:lastModifiedBy>
  <dcterms:created xsi:type="dcterms:W3CDTF">2023-12-20T19:50:27Z</dcterms:created>
  <dcterms:modified xsi:type="dcterms:W3CDTF">2024-06-12T12:10:41Z</dcterms:modified>
</cp:coreProperties>
</file>