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C053AE1-AD43-4888-804D-595A256FCE8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ujona" sheetId="1" r:id="rId1"/>
    <sheet name="carvona" sheetId="2" r:id="rId2"/>
    <sheet name="MEXCL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E22" i="2"/>
  <c r="K22" i="2"/>
  <c r="L22" i="2"/>
  <c r="M22" i="2"/>
  <c r="D24" i="2"/>
  <c r="E33" i="2"/>
  <c r="E32" i="2"/>
  <c r="E31" i="2"/>
  <c r="E30" i="2"/>
  <c r="E29" i="2"/>
  <c r="D33" i="2"/>
  <c r="D32" i="2"/>
  <c r="D31" i="2"/>
  <c r="D30" i="2"/>
  <c r="D29" i="2"/>
  <c r="C33" i="2"/>
  <c r="C32" i="2"/>
  <c r="C31" i="2"/>
  <c r="C30" i="2"/>
  <c r="C29" i="2"/>
  <c r="D16" i="2"/>
  <c r="C16" i="2"/>
  <c r="G16" i="2" s="1"/>
  <c r="D15" i="2"/>
  <c r="G15" i="2" s="1"/>
  <c r="C14" i="2"/>
  <c r="G14" i="2" s="1"/>
  <c r="D13" i="2"/>
  <c r="C13" i="2"/>
  <c r="G13" i="2" s="1"/>
  <c r="E12" i="2"/>
  <c r="D12" i="2"/>
  <c r="C12" i="2"/>
  <c r="F27" i="3"/>
  <c r="E27" i="3"/>
  <c r="G27" i="3" s="1"/>
  <c r="D27" i="3"/>
  <c r="F26" i="3"/>
  <c r="E26" i="3"/>
  <c r="H26" i="3" s="1"/>
  <c r="D26" i="3"/>
  <c r="F25" i="3"/>
  <c r="H25" i="3" s="1"/>
  <c r="D24" i="3"/>
  <c r="F23" i="3"/>
  <c r="E23" i="3"/>
  <c r="D23" i="3"/>
  <c r="F22" i="3"/>
  <c r="F5" i="3"/>
  <c r="G5" i="3" s="1"/>
  <c r="E22" i="3"/>
  <c r="E24" i="3"/>
  <c r="E10" i="3"/>
  <c r="H10" i="3" s="1"/>
  <c r="E7" i="3"/>
  <c r="D7" i="3"/>
  <c r="H7" i="3" s="1"/>
  <c r="F6" i="3"/>
  <c r="E6" i="3"/>
  <c r="D6" i="3"/>
  <c r="H28" i="3"/>
  <c r="G28" i="3"/>
  <c r="H11" i="3"/>
  <c r="G11" i="3"/>
  <c r="G9" i="3"/>
  <c r="H9" i="3"/>
  <c r="H8" i="3"/>
  <c r="G8" i="3"/>
  <c r="E32" i="1"/>
  <c r="D32" i="1"/>
  <c r="C32" i="1"/>
  <c r="E31" i="1"/>
  <c r="D31" i="1"/>
  <c r="C31" i="1"/>
  <c r="D30" i="1"/>
  <c r="C30" i="1"/>
  <c r="E14" i="1"/>
  <c r="C14" i="1"/>
  <c r="C13" i="1"/>
  <c r="G13" i="1" s="1"/>
  <c r="E12" i="1"/>
  <c r="D12" i="1"/>
  <c r="F12" i="1"/>
  <c r="M25" i="2"/>
  <c r="K25" i="2"/>
  <c r="O25" i="2" s="1"/>
  <c r="M24" i="2"/>
  <c r="L24" i="2"/>
  <c r="K24" i="2"/>
  <c r="O24" i="2" s="1"/>
  <c r="M23" i="2"/>
  <c r="L23" i="2"/>
  <c r="K23" i="2"/>
  <c r="M9" i="2"/>
  <c r="L9" i="2"/>
  <c r="K9" i="2"/>
  <c r="K8" i="2"/>
  <c r="L8" i="2"/>
  <c r="E25" i="2"/>
  <c r="D25" i="2"/>
  <c r="F25" i="2" s="1"/>
  <c r="C25" i="2"/>
  <c r="C24" i="2"/>
  <c r="G24" i="2" s="1"/>
  <c r="E23" i="2"/>
  <c r="D23" i="2"/>
  <c r="C23" i="2"/>
  <c r="F23" i="2" s="1"/>
  <c r="D6" i="2"/>
  <c r="C6" i="2"/>
  <c r="E9" i="2"/>
  <c r="D9" i="2"/>
  <c r="C9" i="2"/>
  <c r="C8" i="2"/>
  <c r="E8" i="2"/>
  <c r="C7" i="2"/>
  <c r="F7" i="2" s="1"/>
  <c r="O27" i="2"/>
  <c r="N27" i="2"/>
  <c r="G28" i="2"/>
  <c r="F28" i="2"/>
  <c r="G27" i="2"/>
  <c r="F27" i="2"/>
  <c r="O26" i="2"/>
  <c r="N26" i="2"/>
  <c r="G26" i="2"/>
  <c r="F26" i="2"/>
  <c r="N25" i="2"/>
  <c r="G22" i="2"/>
  <c r="O10" i="2"/>
  <c r="N10" i="2"/>
  <c r="G11" i="2"/>
  <c r="F11" i="2"/>
  <c r="C10" i="2"/>
  <c r="G10" i="2" s="1"/>
  <c r="O7" i="2"/>
  <c r="N7" i="2"/>
  <c r="G7" i="2"/>
  <c r="O6" i="2"/>
  <c r="N6" i="2"/>
  <c r="O5" i="2"/>
  <c r="N5" i="2"/>
  <c r="G5" i="2"/>
  <c r="M28" i="1"/>
  <c r="L28" i="1"/>
  <c r="M26" i="1"/>
  <c r="L25" i="1"/>
  <c r="N25" i="1" s="1"/>
  <c r="M24" i="1"/>
  <c r="N24" i="1" s="1"/>
  <c r="K28" i="1"/>
  <c r="K26" i="1"/>
  <c r="K23" i="1"/>
  <c r="N23" i="1" s="1"/>
  <c r="M10" i="1"/>
  <c r="L10" i="1"/>
  <c r="K10" i="1"/>
  <c r="M8" i="1"/>
  <c r="M7" i="1"/>
  <c r="K8" i="1"/>
  <c r="O8" i="1" s="1"/>
  <c r="O29" i="1"/>
  <c r="N29" i="1"/>
  <c r="O27" i="1"/>
  <c r="N27" i="1"/>
  <c r="O11" i="1"/>
  <c r="N11" i="1"/>
  <c r="O9" i="1"/>
  <c r="N9" i="1"/>
  <c r="N6" i="1"/>
  <c r="O6" i="1"/>
  <c r="O5" i="1"/>
  <c r="G29" i="1"/>
  <c r="G28" i="1"/>
  <c r="G27" i="1"/>
  <c r="G9" i="1"/>
  <c r="G11" i="1"/>
  <c r="E24" i="1"/>
  <c r="D26" i="1"/>
  <c r="G26" i="1" s="1"/>
  <c r="D24" i="1"/>
  <c r="C25" i="1"/>
  <c r="G25" i="1" s="1"/>
  <c r="C24" i="1"/>
  <c r="F29" i="1"/>
  <c r="F27" i="1"/>
  <c r="E23" i="1"/>
  <c r="F23" i="1" s="1"/>
  <c r="F9" i="1"/>
  <c r="F11" i="1"/>
  <c r="E10" i="1"/>
  <c r="C10" i="1"/>
  <c r="E8" i="1"/>
  <c r="D8" i="1"/>
  <c r="F8" i="1" s="1"/>
  <c r="E7" i="1"/>
  <c r="D7" i="1"/>
  <c r="C7" i="1"/>
  <c r="E6" i="1"/>
  <c r="D6" i="1"/>
  <c r="C6" i="1"/>
  <c r="E5" i="1"/>
  <c r="G5" i="1" s="1"/>
  <c r="H27" i="3" l="1"/>
  <c r="G7" i="3"/>
  <c r="G6" i="3"/>
  <c r="H23" i="3"/>
  <c r="G10" i="3"/>
  <c r="F9" i="2"/>
  <c r="F22" i="2"/>
  <c r="F29" i="2"/>
  <c r="F32" i="2"/>
  <c r="O8" i="2"/>
  <c r="G12" i="2"/>
  <c r="G7" i="1"/>
  <c r="G12" i="1"/>
  <c r="F32" i="1"/>
  <c r="G6" i="1"/>
  <c r="G10" i="1"/>
  <c r="O23" i="1"/>
  <c r="G30" i="1"/>
  <c r="F13" i="2"/>
  <c r="H5" i="3"/>
  <c r="G22" i="3"/>
  <c r="F13" i="1"/>
  <c r="F14" i="2"/>
  <c r="F31" i="2"/>
  <c r="G32" i="1"/>
  <c r="F15" i="2"/>
  <c r="N9" i="2"/>
  <c r="G31" i="1"/>
  <c r="H24" i="3"/>
  <c r="F12" i="2"/>
  <c r="F16" i="2"/>
  <c r="G24" i="1"/>
  <c r="F14" i="1"/>
  <c r="G33" i="2"/>
  <c r="G32" i="2"/>
  <c r="F33" i="2"/>
  <c r="F30" i="2"/>
  <c r="G29" i="2"/>
  <c r="G31" i="2"/>
  <c r="G30" i="2"/>
  <c r="G26" i="3"/>
  <c r="H22" i="3"/>
  <c r="H6" i="3"/>
  <c r="G24" i="3"/>
  <c r="G23" i="3"/>
  <c r="G25" i="3"/>
  <c r="F31" i="1"/>
  <c r="F30" i="1"/>
  <c r="G14" i="1"/>
  <c r="N24" i="2"/>
  <c r="O23" i="2"/>
  <c r="N23" i="2"/>
  <c r="O22" i="2"/>
  <c r="N22" i="2"/>
  <c r="O9" i="2"/>
  <c r="G25" i="2"/>
  <c r="G6" i="2"/>
  <c r="F6" i="2"/>
  <c r="G9" i="2"/>
  <c r="G8" i="2"/>
  <c r="G23" i="2"/>
  <c r="F5" i="2"/>
  <c r="F24" i="2"/>
  <c r="F8" i="2"/>
  <c r="N8" i="2"/>
  <c r="F10" i="2"/>
  <c r="G23" i="1"/>
  <c r="O26" i="1"/>
  <c r="F5" i="1"/>
  <c r="F26" i="1"/>
  <c r="G8" i="1"/>
  <c r="N28" i="1"/>
  <c r="O28" i="1"/>
  <c r="O25" i="1"/>
  <c r="N7" i="1"/>
  <c r="O10" i="1"/>
  <c r="N8" i="1"/>
  <c r="O7" i="1"/>
  <c r="N5" i="1"/>
  <c r="N10" i="1"/>
  <c r="N26" i="1"/>
  <c r="O24" i="1"/>
  <c r="F7" i="1"/>
  <c r="F25" i="1"/>
  <c r="F6" i="1"/>
  <c r="F10" i="1"/>
  <c r="F24" i="1"/>
  <c r="F28" i="1"/>
</calcChain>
</file>

<file path=xl/sharedStrings.xml><?xml version="1.0" encoding="utf-8"?>
<sst xmlns="http://schemas.openxmlformats.org/spreadsheetml/2006/main" count="214" uniqueCount="26">
  <si>
    <t>replica 1</t>
  </si>
  <si>
    <t>replica 2</t>
  </si>
  <si>
    <t>replica 3</t>
  </si>
  <si>
    <t>1h</t>
  </si>
  <si>
    <t>estadio pupas</t>
  </si>
  <si>
    <t>24h</t>
  </si>
  <si>
    <t>tujona (aceite colocado en superficie)</t>
  </si>
  <si>
    <t>tujona (aceite disuelta en superficie)</t>
  </si>
  <si>
    <t>carvona (aceite disuelta en superficie)</t>
  </si>
  <si>
    <t>carvona (aceite colocado en superficie)</t>
  </si>
  <si>
    <t>tuyona y carvona (aceite colocado en superficie)</t>
  </si>
  <si>
    <t>Tujona</t>
  </si>
  <si>
    <t>Carvona</t>
  </si>
  <si>
    <t>T: C</t>
  </si>
  <si>
    <t>22,5:18</t>
  </si>
  <si>
    <t>7,5:54</t>
  </si>
  <si>
    <t>Fecha</t>
  </si>
  <si>
    <t>Media</t>
  </si>
  <si>
    <t>Error</t>
  </si>
  <si>
    <t>Control</t>
  </si>
  <si>
    <t>Mezcla</t>
  </si>
  <si>
    <t>Dosis (ppm)</t>
  </si>
  <si>
    <t>Feb 16</t>
  </si>
  <si>
    <t>Feb 17</t>
  </si>
  <si>
    <t>Mar 5</t>
  </si>
  <si>
    <t>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</si>
</sst>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0" borderId="0" xfId="0" applyNumberFormat="1"/>
    <xf numFmtId="0" fontId="0" fillId="0" borderId="4" xfId="0" applyBorder="1"/>
    <xf numFmtId="0" fontId="0" fillId="0" borderId="5" xfId="0" applyBorder="1"/>
    <xf numFmtId="2" fontId="0" fillId="0" borderId="0" xfId="0" applyNumberFormat="1"/>
    <xf numFmtId="2" fontId="0" fillId="0" borderId="5" xfId="0" applyNumberFormat="1" applyBorder="1"/>
    <xf numFmtId="0" fontId="0" fillId="0" borderId="6" xfId="0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1" xfId="0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20" fontId="0" fillId="0" borderId="4" xfId="0" applyNumberFormat="1" applyBorder="1"/>
    <xf numFmtId="2" fontId="0" fillId="0" borderId="5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0" xfId="0" applyNumberFormat="1" applyBorder="1"/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6" xfId="0" applyBorder="1" applyAlignment="1">
      <alignment horizontal="center"/>
    </xf>
    <xf numFmtId="2" fontId="0" fillId="0" borderId="1" xfId="0" applyNumberFormat="1" applyBorder="1"/>
    <xf numFmtId="2" fontId="0" fillId="0" borderId="4" xfId="0" applyNumberFormat="1" applyBorder="1"/>
    <xf numFmtId="2" fontId="0" fillId="0" borderId="6" xfId="0" applyNumberFormat="1" applyBorder="1"/>
    <xf numFmtId="0" fontId="0" fillId="0" borderId="0" xfId="0" applyBorder="1"/>
    <xf numFmtId="0" fontId="0" fillId="0" borderId="13" xfId="0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/>
    <xf numFmtId="49" fontId="0" fillId="0" borderId="4" xfId="0" applyNumberFormat="1" applyBorder="1"/>
    <xf numFmtId="49" fontId="0" fillId="0" borderId="6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workbookViewId="0">
      <selection activeCell="A5" sqref="A5:A13"/>
    </sheetView>
  </sheetViews>
  <sheetFormatPr baseColWidth="10" defaultRowHeight="15" x14ac:dyDescent="0.25"/>
  <cols>
    <col min="6" max="6" width="11.140625" bestFit="1" customWidth="1"/>
  </cols>
  <sheetData>
    <row r="1" spans="1:15" x14ac:dyDescent="0.25">
      <c r="B1" t="s">
        <v>6</v>
      </c>
      <c r="J1" s="1"/>
      <c r="K1" t="s">
        <v>7</v>
      </c>
    </row>
    <row r="3" spans="1:15" x14ac:dyDescent="0.25">
      <c r="A3" s="24" t="s">
        <v>16</v>
      </c>
      <c r="B3" s="19" t="s">
        <v>3</v>
      </c>
      <c r="C3" s="20"/>
      <c r="D3" s="20"/>
      <c r="E3" s="21"/>
      <c r="F3" s="25" t="s">
        <v>17</v>
      </c>
      <c r="G3" s="25" t="s">
        <v>18</v>
      </c>
      <c r="I3" s="24" t="s">
        <v>16</v>
      </c>
      <c r="J3" s="19" t="s">
        <v>3</v>
      </c>
      <c r="K3" s="20"/>
      <c r="L3" s="20"/>
      <c r="M3" s="21"/>
      <c r="N3" s="25" t="s">
        <v>17</v>
      </c>
      <c r="O3" s="25" t="s">
        <v>18</v>
      </c>
    </row>
    <row r="4" spans="1:15" x14ac:dyDescent="0.25">
      <c r="A4" s="26"/>
      <c r="B4" s="6" t="s">
        <v>21</v>
      </c>
      <c r="C4" s="15" t="s">
        <v>0</v>
      </c>
      <c r="D4" s="15" t="s">
        <v>1</v>
      </c>
      <c r="E4" s="12" t="s">
        <v>2</v>
      </c>
      <c r="F4" s="27" t="s">
        <v>17</v>
      </c>
      <c r="G4" s="27" t="s">
        <v>17</v>
      </c>
      <c r="I4" s="26"/>
      <c r="J4" s="6" t="s">
        <v>21</v>
      </c>
      <c r="K4" s="15" t="s">
        <v>0</v>
      </c>
      <c r="L4" s="15" t="s">
        <v>1</v>
      </c>
      <c r="M4" s="12" t="s">
        <v>2</v>
      </c>
      <c r="N4" s="27" t="s">
        <v>17</v>
      </c>
      <c r="O4" s="27" t="s">
        <v>17</v>
      </c>
    </row>
    <row r="5" spans="1:15" x14ac:dyDescent="0.25">
      <c r="A5" s="38" t="s">
        <v>22</v>
      </c>
      <c r="B5" s="2">
        <v>20</v>
      </c>
      <c r="C5" s="23">
        <v>0</v>
      </c>
      <c r="D5" s="23">
        <v>0</v>
      </c>
      <c r="E5" s="5">
        <f>1/43</f>
        <v>2.3255813953488372E-2</v>
      </c>
      <c r="F5" s="23">
        <f>AVERAGE(C5:E5)</f>
        <v>7.7519379844961239E-3</v>
      </c>
      <c r="G5" s="5">
        <f>_xlfn.STDEV.S(C5:E5)/SQRT(3)</f>
        <v>7.7519379844961239E-3</v>
      </c>
      <c r="H5" s="38"/>
      <c r="I5" s="44" t="s">
        <v>22</v>
      </c>
      <c r="J5" s="9">
        <v>20</v>
      </c>
      <c r="K5" s="10">
        <v>0</v>
      </c>
      <c r="L5" s="10">
        <v>0</v>
      </c>
      <c r="M5" s="11">
        <v>0</v>
      </c>
      <c r="N5" s="10">
        <f>AVERAGE(K5:M5)</f>
        <v>0</v>
      </c>
      <c r="O5" s="11">
        <f>_xlfn.STDEV.S(K5:M5)/SQRT(3)</f>
        <v>0</v>
      </c>
    </row>
    <row r="6" spans="1:15" x14ac:dyDescent="0.25">
      <c r="A6" s="38" t="s">
        <v>22</v>
      </c>
      <c r="B6" s="2">
        <v>40</v>
      </c>
      <c r="C6" s="4">
        <f>8/19</f>
        <v>0.42105263157894735</v>
      </c>
      <c r="D6" s="4">
        <f>11/16</f>
        <v>0.6875</v>
      </c>
      <c r="E6" s="5">
        <f>6/17</f>
        <v>0.35294117647058826</v>
      </c>
      <c r="F6" s="4">
        <f t="shared" ref="F6:F11" si="0">AVERAGE(C6:E6)</f>
        <v>0.48716460268317857</v>
      </c>
      <c r="G6" s="5">
        <f t="shared" ref="G6:G11" si="1">_xlfn.STDEV.S(C6:E6)/SQRT(3)</f>
        <v>0.10207921130640168</v>
      </c>
      <c r="H6" s="38"/>
      <c r="I6" s="44" t="s">
        <v>22</v>
      </c>
      <c r="J6" s="2">
        <v>40</v>
      </c>
      <c r="K6" s="23">
        <v>0</v>
      </c>
      <c r="L6" s="23">
        <v>0</v>
      </c>
      <c r="M6" s="5">
        <v>0</v>
      </c>
      <c r="N6" s="23">
        <f t="shared" ref="N6:N11" si="2">AVERAGE(K6:M6)</f>
        <v>0</v>
      </c>
      <c r="O6" s="5">
        <f t="shared" ref="O6:O11" si="3">_xlfn.STDEV.S(K6:M6)/SQRT(3)</f>
        <v>0</v>
      </c>
    </row>
    <row r="7" spans="1:15" x14ac:dyDescent="0.25">
      <c r="A7" s="38" t="s">
        <v>22</v>
      </c>
      <c r="B7" s="2">
        <v>60</v>
      </c>
      <c r="C7" s="4">
        <f>6/14</f>
        <v>0.42857142857142855</v>
      </c>
      <c r="D7" s="4">
        <f>12/18</f>
        <v>0.66666666666666663</v>
      </c>
      <c r="E7" s="5">
        <f>13/20</f>
        <v>0.65</v>
      </c>
      <c r="F7" s="4">
        <f t="shared" si="0"/>
        <v>0.58174603174603179</v>
      </c>
      <c r="G7" s="5">
        <f t="shared" si="1"/>
        <v>7.6738275407859255E-2</v>
      </c>
      <c r="H7" s="38"/>
      <c r="I7" s="44" t="s">
        <v>22</v>
      </c>
      <c r="J7" s="2">
        <v>60</v>
      </c>
      <c r="K7" s="23">
        <v>0</v>
      </c>
      <c r="L7" s="23">
        <v>0</v>
      </c>
      <c r="M7" s="5">
        <f>1/20</f>
        <v>0.05</v>
      </c>
      <c r="N7" s="23">
        <f t="shared" si="2"/>
        <v>1.6666666666666666E-2</v>
      </c>
      <c r="O7" s="5">
        <f t="shared" si="3"/>
        <v>1.666666666666667E-2</v>
      </c>
    </row>
    <row r="8" spans="1:15" x14ac:dyDescent="0.25">
      <c r="A8" s="38" t="s">
        <v>22</v>
      </c>
      <c r="B8" s="2">
        <v>80</v>
      </c>
      <c r="C8" s="4">
        <v>0.5</v>
      </c>
      <c r="D8" s="4">
        <f>14/19</f>
        <v>0.73684210526315785</v>
      </c>
      <c r="E8" s="5">
        <f>17/20</f>
        <v>0.85</v>
      </c>
      <c r="F8" s="4">
        <f t="shared" si="0"/>
        <v>0.69561403508771935</v>
      </c>
      <c r="G8" s="5">
        <f t="shared" si="1"/>
        <v>0.10311775684105538</v>
      </c>
      <c r="H8" s="38"/>
      <c r="I8" s="44" t="s">
        <v>22</v>
      </c>
      <c r="J8" s="2">
        <v>80</v>
      </c>
      <c r="K8" s="23">
        <f>2/12</f>
        <v>0.16666666666666666</v>
      </c>
      <c r="L8" s="23">
        <v>0</v>
      </c>
      <c r="M8" s="5">
        <f>1/11</f>
        <v>9.0909090909090912E-2</v>
      </c>
      <c r="N8" s="23">
        <f t="shared" si="2"/>
        <v>8.5858585858585856E-2</v>
      </c>
      <c r="O8" s="5">
        <f t="shared" si="3"/>
        <v>4.8178747546310387E-2</v>
      </c>
    </row>
    <row r="9" spans="1:15" x14ac:dyDescent="0.25">
      <c r="A9" s="38" t="s">
        <v>22</v>
      </c>
      <c r="B9" s="2">
        <v>120</v>
      </c>
      <c r="C9" s="4">
        <v>1</v>
      </c>
      <c r="D9" s="4">
        <v>1</v>
      </c>
      <c r="E9" s="5">
        <v>1</v>
      </c>
      <c r="F9" s="4">
        <f t="shared" si="0"/>
        <v>1</v>
      </c>
      <c r="G9" s="5">
        <f t="shared" si="1"/>
        <v>0</v>
      </c>
      <c r="H9" s="38"/>
      <c r="I9" s="44" t="s">
        <v>22</v>
      </c>
      <c r="J9" s="2">
        <v>120</v>
      </c>
      <c r="K9" s="23">
        <v>0</v>
      </c>
      <c r="L9" s="23">
        <v>0</v>
      </c>
      <c r="M9" s="5">
        <v>0</v>
      </c>
      <c r="N9" s="23">
        <f t="shared" si="2"/>
        <v>0</v>
      </c>
      <c r="O9" s="5">
        <f t="shared" si="3"/>
        <v>0</v>
      </c>
    </row>
    <row r="10" spans="1:15" x14ac:dyDescent="0.25">
      <c r="A10" s="38" t="s">
        <v>22</v>
      </c>
      <c r="B10" s="2">
        <v>160</v>
      </c>
      <c r="C10" s="4">
        <f>19/20</f>
        <v>0.95</v>
      </c>
      <c r="D10" s="4">
        <v>1</v>
      </c>
      <c r="E10" s="5">
        <f>18/20</f>
        <v>0.9</v>
      </c>
      <c r="F10" s="4">
        <f t="shared" si="0"/>
        <v>0.95000000000000007</v>
      </c>
      <c r="G10" s="5">
        <f t="shared" si="1"/>
        <v>2.8867513459481284E-2</v>
      </c>
      <c r="H10" s="38"/>
      <c r="I10" s="44" t="s">
        <v>22</v>
      </c>
      <c r="J10" s="2">
        <v>160</v>
      </c>
      <c r="K10" s="23">
        <f>1/13</f>
        <v>7.6923076923076927E-2</v>
      </c>
      <c r="L10" s="23">
        <f>1/14</f>
        <v>7.1428571428571425E-2</v>
      </c>
      <c r="M10" s="5">
        <f>1/12</f>
        <v>8.3333333333333329E-2</v>
      </c>
      <c r="N10" s="23">
        <f t="shared" si="2"/>
        <v>7.7228327228327232E-2</v>
      </c>
      <c r="O10" s="5">
        <f t="shared" si="3"/>
        <v>3.4399962361369488E-3</v>
      </c>
    </row>
    <row r="11" spans="1:15" x14ac:dyDescent="0.25">
      <c r="A11" s="38" t="s">
        <v>22</v>
      </c>
      <c r="B11" s="2">
        <v>0</v>
      </c>
      <c r="C11" s="23">
        <v>0</v>
      </c>
      <c r="D11" s="23">
        <v>0</v>
      </c>
      <c r="E11" s="5">
        <v>0</v>
      </c>
      <c r="F11" s="23">
        <f t="shared" si="0"/>
        <v>0</v>
      </c>
      <c r="G11" s="3">
        <f t="shared" si="1"/>
        <v>0</v>
      </c>
      <c r="H11" s="38"/>
      <c r="I11" s="44" t="s">
        <v>22</v>
      </c>
      <c r="J11" s="6">
        <v>0</v>
      </c>
      <c r="K11" s="7">
        <v>0</v>
      </c>
      <c r="L11" s="7">
        <v>0</v>
      </c>
      <c r="M11" s="8">
        <v>0</v>
      </c>
      <c r="N11" s="7">
        <f t="shared" si="2"/>
        <v>0</v>
      </c>
      <c r="O11" s="12">
        <f t="shared" si="3"/>
        <v>0</v>
      </c>
    </row>
    <row r="12" spans="1:15" x14ac:dyDescent="0.25">
      <c r="A12" s="39" t="s">
        <v>24</v>
      </c>
      <c r="B12" s="9">
        <v>50</v>
      </c>
      <c r="C12" s="10">
        <v>0</v>
      </c>
      <c r="D12" s="10">
        <f>3/20</f>
        <v>0.15</v>
      </c>
      <c r="E12" s="11">
        <f>4/20</f>
        <v>0.2</v>
      </c>
      <c r="F12" s="10">
        <f>AVERAGE(C12:E12)</f>
        <v>0.11666666666666665</v>
      </c>
      <c r="G12" s="11">
        <f>_xlfn.STDEV.S(C12:E12)/SQRT(3)</f>
        <v>6.0092521257733171E-2</v>
      </c>
      <c r="H12" s="38"/>
      <c r="I12" s="42" t="s">
        <v>23</v>
      </c>
      <c r="J12" s="9">
        <v>320</v>
      </c>
      <c r="K12" s="13">
        <v>1</v>
      </c>
      <c r="L12" s="13">
        <v>1</v>
      </c>
      <c r="M12" s="13">
        <v>1</v>
      </c>
      <c r="N12" s="13">
        <v>1</v>
      </c>
      <c r="O12" s="14">
        <v>0</v>
      </c>
    </row>
    <row r="13" spans="1:15" x14ac:dyDescent="0.25">
      <c r="A13" s="40" t="s">
        <v>24</v>
      </c>
      <c r="B13" s="2">
        <v>25</v>
      </c>
      <c r="C13" s="23">
        <f>2/18</f>
        <v>0.1111111111111111</v>
      </c>
      <c r="D13" s="23">
        <v>0</v>
      </c>
      <c r="E13" s="5">
        <v>0</v>
      </c>
      <c r="F13" s="23">
        <f t="shared" ref="F13:F14" si="4">AVERAGE(C13:E13)</f>
        <v>3.7037037037037035E-2</v>
      </c>
      <c r="G13" s="5">
        <f t="shared" ref="G13:G14" si="5">_xlfn.STDEV.S(C13:E13)/SQRT(3)</f>
        <v>3.7037037037037042E-2</v>
      </c>
      <c r="H13" s="38"/>
      <c r="I13" s="43" t="s">
        <v>23</v>
      </c>
      <c r="J13" s="6">
        <v>640</v>
      </c>
      <c r="K13" s="15">
        <v>1</v>
      </c>
      <c r="L13" s="15">
        <v>1</v>
      </c>
      <c r="M13" s="15">
        <v>1</v>
      </c>
      <c r="N13" s="15">
        <v>1</v>
      </c>
      <c r="O13" s="12">
        <v>0</v>
      </c>
    </row>
    <row r="14" spans="1:15" x14ac:dyDescent="0.25">
      <c r="A14" s="41" t="s">
        <v>24</v>
      </c>
      <c r="B14" s="6">
        <v>15</v>
      </c>
      <c r="C14" s="7">
        <f>1/20</f>
        <v>0.05</v>
      </c>
      <c r="D14" s="7">
        <v>0</v>
      </c>
      <c r="E14" s="8">
        <f>1/10</f>
        <v>0.1</v>
      </c>
      <c r="F14" s="7">
        <f t="shared" si="4"/>
        <v>5.000000000000001E-2</v>
      </c>
      <c r="G14" s="8">
        <f t="shared" si="5"/>
        <v>2.8867513459481291E-2</v>
      </c>
      <c r="H14" s="38"/>
    </row>
    <row r="19" spans="1:15" x14ac:dyDescent="0.25">
      <c r="B19" s="1"/>
      <c r="J19" s="1"/>
    </row>
    <row r="20" spans="1:15" x14ac:dyDescent="0.25">
      <c r="N20" s="28"/>
    </row>
    <row r="21" spans="1:15" x14ac:dyDescent="0.25">
      <c r="A21" s="24" t="s">
        <v>16</v>
      </c>
      <c r="B21" s="19" t="s">
        <v>5</v>
      </c>
      <c r="C21" s="20"/>
      <c r="D21" s="20"/>
      <c r="E21" s="21"/>
      <c r="F21" s="25" t="s">
        <v>17</v>
      </c>
      <c r="G21" s="25" t="s">
        <v>18</v>
      </c>
      <c r="I21" s="24" t="s">
        <v>16</v>
      </c>
      <c r="J21" s="19" t="s">
        <v>5</v>
      </c>
      <c r="K21" s="20"/>
      <c r="L21" s="20"/>
      <c r="M21" s="21"/>
      <c r="N21" s="29" t="s">
        <v>17</v>
      </c>
      <c r="O21" s="25" t="s">
        <v>18</v>
      </c>
    </row>
    <row r="22" spans="1:15" x14ac:dyDescent="0.25">
      <c r="A22" s="26"/>
      <c r="B22" s="6" t="s">
        <v>21</v>
      </c>
      <c r="C22" s="13" t="s">
        <v>0</v>
      </c>
      <c r="D22" s="13" t="s">
        <v>1</v>
      </c>
      <c r="E22" s="14" t="s">
        <v>2</v>
      </c>
      <c r="F22" s="27" t="s">
        <v>17</v>
      </c>
      <c r="G22" s="27" t="s">
        <v>17</v>
      </c>
      <c r="I22" s="26"/>
      <c r="J22" s="6" t="s">
        <v>21</v>
      </c>
      <c r="K22" s="30" t="s">
        <v>0</v>
      </c>
      <c r="L22" s="30" t="s">
        <v>1</v>
      </c>
      <c r="M22" s="31" t="s">
        <v>2</v>
      </c>
      <c r="N22" s="32"/>
      <c r="O22" s="27"/>
    </row>
    <row r="23" spans="1:15" x14ac:dyDescent="0.25">
      <c r="A23" s="38" t="s">
        <v>22</v>
      </c>
      <c r="B23" s="2">
        <v>20</v>
      </c>
      <c r="C23" s="4">
        <v>0</v>
      </c>
      <c r="D23" s="4">
        <v>0</v>
      </c>
      <c r="E23" s="5">
        <f>1/43</f>
        <v>2.3255813953488372E-2</v>
      </c>
      <c r="F23" s="4">
        <f>AVERAGE(C23:E23)</f>
        <v>7.7519379844961239E-3</v>
      </c>
      <c r="G23" s="5">
        <f>_xlfn.STDEV.S(C23:E23)/SQRT(3)</f>
        <v>7.7519379844961239E-3</v>
      </c>
      <c r="I23" s="40" t="s">
        <v>22</v>
      </c>
      <c r="J23" s="2">
        <v>20</v>
      </c>
      <c r="K23" s="23">
        <f>1/19</f>
        <v>5.2631578947368418E-2</v>
      </c>
      <c r="L23" s="23">
        <v>0</v>
      </c>
      <c r="M23" s="5">
        <v>0</v>
      </c>
      <c r="N23" s="23">
        <f>AVERAGE(K23:M23)</f>
        <v>1.7543859649122806E-2</v>
      </c>
      <c r="O23" s="5">
        <f>_xlfn.STDEV.S(K23:M23)/SQRT(3)</f>
        <v>1.7543859649122806E-2</v>
      </c>
    </row>
    <row r="24" spans="1:15" x14ac:dyDescent="0.25">
      <c r="A24" s="38" t="s">
        <v>22</v>
      </c>
      <c r="B24" s="2">
        <v>40</v>
      </c>
      <c r="C24" s="4">
        <f>12/19</f>
        <v>0.63157894736842102</v>
      </c>
      <c r="D24" s="4">
        <f>12/16</f>
        <v>0.75</v>
      </c>
      <c r="E24" s="5">
        <f>7/17</f>
        <v>0.41176470588235292</v>
      </c>
      <c r="F24" s="4">
        <f t="shared" ref="F24:F29" si="6">AVERAGE(C24:E24)</f>
        <v>0.59778121775025805</v>
      </c>
      <c r="G24" s="5">
        <f t="shared" ref="G24:G29" si="7">_xlfn.STDEV.S(C24:E24)/SQRT(3)</f>
        <v>9.9091697335043499E-2</v>
      </c>
      <c r="I24" s="40" t="s">
        <v>22</v>
      </c>
      <c r="J24" s="2">
        <v>40</v>
      </c>
      <c r="K24" s="23">
        <v>0</v>
      </c>
      <c r="L24" s="23">
        <v>0</v>
      </c>
      <c r="M24" s="5">
        <f>1/16</f>
        <v>6.25E-2</v>
      </c>
      <c r="N24" s="23">
        <f t="shared" ref="N24:N29" si="8">AVERAGE(K24:M24)</f>
        <v>2.0833333333333332E-2</v>
      </c>
      <c r="O24" s="5">
        <f t="shared" ref="O24:O29" si="9">_xlfn.STDEV.S(K24:M24)/SQRT(3)</f>
        <v>2.0833333333333336E-2</v>
      </c>
    </row>
    <row r="25" spans="1:15" x14ac:dyDescent="0.25">
      <c r="A25" s="38" t="s">
        <v>22</v>
      </c>
      <c r="B25" s="2">
        <v>60</v>
      </c>
      <c r="C25" s="4">
        <f>13/14</f>
        <v>0.9285714285714286</v>
      </c>
      <c r="D25" s="4">
        <v>1</v>
      </c>
      <c r="E25" s="5">
        <v>1</v>
      </c>
      <c r="F25" s="4">
        <f t="shared" si="6"/>
        <v>0.97619047619047628</v>
      </c>
      <c r="G25" s="5">
        <f t="shared" si="7"/>
        <v>2.3809523809523798E-2</v>
      </c>
      <c r="I25" s="40" t="s">
        <v>22</v>
      </c>
      <c r="J25" s="2">
        <v>60</v>
      </c>
      <c r="K25" s="23">
        <v>0</v>
      </c>
      <c r="L25" s="23">
        <f>1/15</f>
        <v>6.6666666666666666E-2</v>
      </c>
      <c r="M25" s="5">
        <v>0</v>
      </c>
      <c r="N25" s="23">
        <f t="shared" si="8"/>
        <v>2.2222222222222223E-2</v>
      </c>
      <c r="O25" s="5">
        <f t="shared" si="9"/>
        <v>2.2222222222222223E-2</v>
      </c>
    </row>
    <row r="26" spans="1:15" x14ac:dyDescent="0.25">
      <c r="A26" s="38" t="s">
        <v>22</v>
      </c>
      <c r="B26" s="2">
        <v>80</v>
      </c>
      <c r="C26" s="4">
        <v>1</v>
      </c>
      <c r="D26" s="4">
        <f>18/19</f>
        <v>0.94736842105263153</v>
      </c>
      <c r="E26" s="5">
        <v>1</v>
      </c>
      <c r="F26" s="4">
        <f t="shared" si="6"/>
        <v>0.98245614035087714</v>
      </c>
      <c r="G26" s="5">
        <f t="shared" si="7"/>
        <v>1.7543859649122823E-2</v>
      </c>
      <c r="I26" s="40" t="s">
        <v>22</v>
      </c>
      <c r="J26" s="2">
        <v>80</v>
      </c>
      <c r="K26" s="23">
        <f>2/12</f>
        <v>0.16666666666666666</v>
      </c>
      <c r="L26" s="23">
        <v>0</v>
      </c>
      <c r="M26" s="5">
        <f>1/11</f>
        <v>9.0909090909090912E-2</v>
      </c>
      <c r="N26" s="23">
        <f t="shared" si="8"/>
        <v>8.5858585858585856E-2</v>
      </c>
      <c r="O26" s="5">
        <f t="shared" si="9"/>
        <v>4.8178747546310387E-2</v>
      </c>
    </row>
    <row r="27" spans="1:15" x14ac:dyDescent="0.25">
      <c r="A27" s="38" t="s">
        <v>22</v>
      </c>
      <c r="B27" s="2">
        <v>120</v>
      </c>
      <c r="C27" s="4">
        <v>1</v>
      </c>
      <c r="D27" s="4">
        <v>1</v>
      </c>
      <c r="E27" s="5">
        <v>1</v>
      </c>
      <c r="F27" s="4">
        <f t="shared" si="6"/>
        <v>1</v>
      </c>
      <c r="G27" s="3">
        <f t="shared" si="7"/>
        <v>0</v>
      </c>
      <c r="I27" s="40" t="s">
        <v>22</v>
      </c>
      <c r="J27" s="2">
        <v>120</v>
      </c>
      <c r="K27" s="23">
        <v>0</v>
      </c>
      <c r="L27" s="23">
        <v>0</v>
      </c>
      <c r="M27" s="5">
        <v>0</v>
      </c>
      <c r="N27" s="23">
        <f t="shared" si="8"/>
        <v>0</v>
      </c>
      <c r="O27" s="5">
        <f t="shared" si="9"/>
        <v>0</v>
      </c>
    </row>
    <row r="28" spans="1:15" x14ac:dyDescent="0.25">
      <c r="A28" s="38" t="s">
        <v>22</v>
      </c>
      <c r="B28" s="2">
        <v>160</v>
      </c>
      <c r="C28" s="4">
        <v>1</v>
      </c>
      <c r="D28" s="4">
        <v>1</v>
      </c>
      <c r="E28" s="5">
        <v>1</v>
      </c>
      <c r="F28" s="4">
        <f t="shared" si="6"/>
        <v>1</v>
      </c>
      <c r="G28" s="3">
        <f t="shared" si="7"/>
        <v>0</v>
      </c>
      <c r="I28" s="40" t="s">
        <v>22</v>
      </c>
      <c r="J28" s="2">
        <v>160</v>
      </c>
      <c r="K28" s="23">
        <f>1/13</f>
        <v>7.6923076923076927E-2</v>
      </c>
      <c r="L28" s="23">
        <f>2/14</f>
        <v>0.14285714285714285</v>
      </c>
      <c r="M28" s="5">
        <f>2/12</f>
        <v>0.16666666666666666</v>
      </c>
      <c r="N28" s="23">
        <f t="shared" si="8"/>
        <v>0.1288156288156288</v>
      </c>
      <c r="O28" s="5">
        <f t="shared" si="9"/>
        <v>2.68412062722596E-2</v>
      </c>
    </row>
    <row r="29" spans="1:15" x14ac:dyDescent="0.25">
      <c r="A29" s="38" t="s">
        <v>22</v>
      </c>
      <c r="B29" s="2">
        <v>0</v>
      </c>
      <c r="C29" s="23">
        <v>0</v>
      </c>
      <c r="D29" s="23">
        <v>0</v>
      </c>
      <c r="E29" s="5">
        <v>0</v>
      </c>
      <c r="F29" s="23">
        <f t="shared" si="6"/>
        <v>0</v>
      </c>
      <c r="G29" s="3">
        <f t="shared" si="7"/>
        <v>0</v>
      </c>
      <c r="I29" s="40" t="s">
        <v>22</v>
      </c>
      <c r="J29" s="2">
        <v>0</v>
      </c>
      <c r="K29" s="23">
        <v>0</v>
      </c>
      <c r="L29" s="23">
        <v>0</v>
      </c>
      <c r="M29" s="5">
        <v>0</v>
      </c>
      <c r="N29" s="23">
        <f t="shared" si="8"/>
        <v>0</v>
      </c>
      <c r="O29" s="3">
        <f t="shared" si="9"/>
        <v>0</v>
      </c>
    </row>
    <row r="30" spans="1:15" x14ac:dyDescent="0.25">
      <c r="A30" s="42" t="s">
        <v>24</v>
      </c>
      <c r="B30" s="9">
        <v>50</v>
      </c>
      <c r="C30" s="10">
        <f>9/16</f>
        <v>0.5625</v>
      </c>
      <c r="D30" s="10">
        <f>10/20</f>
        <v>0.5</v>
      </c>
      <c r="E30" s="11">
        <v>0.7142857142857143</v>
      </c>
      <c r="F30" s="10">
        <f>AVERAGE(C30:E30)</f>
        <v>0.59226190476190477</v>
      </c>
      <c r="G30" s="11">
        <f>_xlfn.STDEV.S(C30:E30)/SQRT(3)</f>
        <v>6.3623685495332941E-2</v>
      </c>
      <c r="I30" s="42" t="s">
        <v>23</v>
      </c>
      <c r="J30" s="9">
        <v>320</v>
      </c>
      <c r="K30" s="13">
        <v>1</v>
      </c>
      <c r="L30" s="13">
        <v>1</v>
      </c>
      <c r="M30" s="13">
        <v>1</v>
      </c>
      <c r="N30" s="13">
        <v>1</v>
      </c>
      <c r="O30" s="14">
        <v>0</v>
      </c>
    </row>
    <row r="31" spans="1:15" x14ac:dyDescent="0.25">
      <c r="A31" s="44" t="s">
        <v>24</v>
      </c>
      <c r="B31" s="2">
        <v>25</v>
      </c>
      <c r="C31" s="23">
        <f>4/18</f>
        <v>0.22222222222222221</v>
      </c>
      <c r="D31" s="23">
        <f>2/18</f>
        <v>0.1111111111111111</v>
      </c>
      <c r="E31" s="5">
        <f>2/14</f>
        <v>0.14285714285714285</v>
      </c>
      <c r="F31" s="23">
        <f t="shared" ref="F31:F32" si="10">AVERAGE(C31:E31)</f>
        <v>0.15873015873015872</v>
      </c>
      <c r="G31" s="5">
        <f t="shared" ref="G31:G32" si="11">_xlfn.STDEV.S(C31:E31)/SQRT(3)</f>
        <v>3.3042317451843384E-2</v>
      </c>
      <c r="I31" s="43" t="s">
        <v>23</v>
      </c>
      <c r="J31" s="6">
        <v>640</v>
      </c>
      <c r="K31" s="15">
        <v>1</v>
      </c>
      <c r="L31" s="15">
        <v>1</v>
      </c>
      <c r="M31" s="15">
        <v>1</v>
      </c>
      <c r="N31" s="15">
        <v>1</v>
      </c>
      <c r="O31" s="12">
        <v>0</v>
      </c>
    </row>
    <row r="32" spans="1:15" x14ac:dyDescent="0.25">
      <c r="A32" s="43" t="s">
        <v>24</v>
      </c>
      <c r="B32" s="6">
        <v>15</v>
      </c>
      <c r="C32" s="7">
        <f>1/20</f>
        <v>0.05</v>
      </c>
      <c r="D32" s="7">
        <f>2/20</f>
        <v>0.1</v>
      </c>
      <c r="E32" s="8">
        <f>3/10</f>
        <v>0.3</v>
      </c>
      <c r="F32" s="7">
        <f t="shared" si="10"/>
        <v>0.15</v>
      </c>
      <c r="G32" s="8">
        <f t="shared" si="11"/>
        <v>7.6376261582597332E-2</v>
      </c>
    </row>
  </sheetData>
  <mergeCells count="16">
    <mergeCell ref="N3:N4"/>
    <mergeCell ref="O3:O4"/>
    <mergeCell ref="A21:A22"/>
    <mergeCell ref="I21:I22"/>
    <mergeCell ref="F21:F22"/>
    <mergeCell ref="G21:G22"/>
    <mergeCell ref="N21:N22"/>
    <mergeCell ref="O21:O22"/>
    <mergeCell ref="B3:E3"/>
    <mergeCell ref="B21:E21"/>
    <mergeCell ref="J3:M3"/>
    <mergeCell ref="J21:M21"/>
    <mergeCell ref="A3:A4"/>
    <mergeCell ref="F3:F4"/>
    <mergeCell ref="G3:G4"/>
    <mergeCell ref="I3:I4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workbookViewId="0">
      <selection activeCell="A22" sqref="A22:A23"/>
    </sheetView>
  </sheetViews>
  <sheetFormatPr baseColWidth="10" defaultRowHeight="15" x14ac:dyDescent="0.25"/>
  <cols>
    <col min="5" max="5" width="14.5703125" bestFit="1" customWidth="1"/>
    <col min="6" max="6" width="11.140625" bestFit="1" customWidth="1"/>
  </cols>
  <sheetData>
    <row r="1" spans="1:15" x14ac:dyDescent="0.25">
      <c r="B1" s="1"/>
      <c r="C1" t="s">
        <v>9</v>
      </c>
      <c r="J1" s="1"/>
      <c r="K1" t="s">
        <v>8</v>
      </c>
    </row>
    <row r="2" spans="1:15" x14ac:dyDescent="0.25">
      <c r="J2" t="s">
        <v>4</v>
      </c>
    </row>
    <row r="3" spans="1:15" x14ac:dyDescent="0.25">
      <c r="A3" s="24" t="s">
        <v>16</v>
      </c>
      <c r="B3" s="19" t="s">
        <v>3</v>
      </c>
      <c r="C3" s="20"/>
      <c r="D3" s="20"/>
      <c r="E3" s="21"/>
      <c r="F3" s="25" t="s">
        <v>17</v>
      </c>
      <c r="G3" s="25" t="s">
        <v>18</v>
      </c>
      <c r="I3" s="24" t="s">
        <v>16</v>
      </c>
      <c r="J3" s="19" t="s">
        <v>3</v>
      </c>
      <c r="K3" s="20"/>
      <c r="L3" s="20"/>
      <c r="M3" s="21"/>
      <c r="N3" s="25" t="s">
        <v>17</v>
      </c>
      <c r="O3" s="25" t="s">
        <v>18</v>
      </c>
    </row>
    <row r="4" spans="1:15" x14ac:dyDescent="0.25">
      <c r="A4" s="26"/>
      <c r="B4" s="6" t="s">
        <v>21</v>
      </c>
      <c r="C4" s="15" t="s">
        <v>0</v>
      </c>
      <c r="D4" s="15" t="s">
        <v>1</v>
      </c>
      <c r="E4" s="12" t="s">
        <v>2</v>
      </c>
      <c r="F4" s="27" t="s">
        <v>17</v>
      </c>
      <c r="G4" s="27" t="s">
        <v>17</v>
      </c>
      <c r="I4" s="26"/>
      <c r="J4" s="6" t="s">
        <v>21</v>
      </c>
      <c r="K4" s="15" t="s">
        <v>0</v>
      </c>
      <c r="L4" s="15" t="s">
        <v>1</v>
      </c>
      <c r="M4" s="12" t="s">
        <v>2</v>
      </c>
      <c r="N4" s="27" t="s">
        <v>17</v>
      </c>
      <c r="O4" s="27" t="s">
        <v>17</v>
      </c>
    </row>
    <row r="5" spans="1:15" x14ac:dyDescent="0.25">
      <c r="A5" s="38" t="s">
        <v>22</v>
      </c>
      <c r="B5" s="9">
        <v>20</v>
      </c>
      <c r="C5" s="10">
        <v>0</v>
      </c>
      <c r="D5" s="10">
        <v>0</v>
      </c>
      <c r="E5" s="11">
        <v>0</v>
      </c>
      <c r="F5" s="10">
        <f>AVERAGE(C5:E5)</f>
        <v>0</v>
      </c>
      <c r="G5" s="11">
        <f>_xlfn.STDEV.S(C5:E5)/SQRT(3)</f>
        <v>0</v>
      </c>
      <c r="I5" s="44" t="s">
        <v>22</v>
      </c>
      <c r="J5" s="9">
        <v>40</v>
      </c>
      <c r="K5" s="10">
        <v>0</v>
      </c>
      <c r="L5" s="10">
        <v>0</v>
      </c>
      <c r="M5" s="11">
        <v>0</v>
      </c>
      <c r="N5" s="10">
        <f>AVERAGE(K5:M5)</f>
        <v>0</v>
      </c>
      <c r="O5" s="11">
        <f>_xlfn.STDEV.S(K5:M5)/SQRT(3)</f>
        <v>0</v>
      </c>
    </row>
    <row r="6" spans="1:15" x14ac:dyDescent="0.25">
      <c r="A6" s="38" t="s">
        <v>22</v>
      </c>
      <c r="B6" s="2">
        <v>40</v>
      </c>
      <c r="C6" s="4">
        <f>1/17</f>
        <v>5.8823529411764705E-2</v>
      </c>
      <c r="D6" s="4">
        <f>1/16</f>
        <v>6.25E-2</v>
      </c>
      <c r="E6" s="5">
        <v>0</v>
      </c>
      <c r="F6" s="4">
        <f t="shared" ref="F6:F11" si="0">AVERAGE(C6:E6)</f>
        <v>4.0441176470588237E-2</v>
      </c>
      <c r="G6" s="5">
        <f t="shared" ref="G6:G11" si="1">_xlfn.STDEV.S(C6:E6)/SQRT(3)</f>
        <v>2.0248421129728321E-2</v>
      </c>
      <c r="I6" s="44" t="s">
        <v>22</v>
      </c>
      <c r="J6" s="2">
        <v>80</v>
      </c>
      <c r="K6" s="23">
        <v>0</v>
      </c>
      <c r="L6" s="23">
        <v>0.05</v>
      </c>
      <c r="M6" s="5">
        <v>0</v>
      </c>
      <c r="N6" s="23">
        <f t="shared" ref="N6:N11" si="2">AVERAGE(K6:M6)</f>
        <v>1.6666666666666666E-2</v>
      </c>
      <c r="O6" s="5">
        <f t="shared" ref="O6:O11" si="3">_xlfn.STDEV.S(K6:M6)/SQRT(3)</f>
        <v>1.666666666666667E-2</v>
      </c>
    </row>
    <row r="7" spans="1:15" x14ac:dyDescent="0.25">
      <c r="A7" s="38" t="s">
        <v>22</v>
      </c>
      <c r="B7" s="2">
        <v>60</v>
      </c>
      <c r="C7" s="4">
        <f>1/20</f>
        <v>0.05</v>
      </c>
      <c r="D7" s="4">
        <v>0</v>
      </c>
      <c r="E7" s="5"/>
      <c r="F7" s="4">
        <f t="shared" si="0"/>
        <v>2.5000000000000001E-2</v>
      </c>
      <c r="G7" s="5">
        <f t="shared" si="1"/>
        <v>2.0412414523193156E-2</v>
      </c>
      <c r="I7" s="44" t="s">
        <v>22</v>
      </c>
      <c r="J7" s="2">
        <v>120</v>
      </c>
      <c r="K7" s="23">
        <v>0</v>
      </c>
      <c r="L7" s="23">
        <v>0</v>
      </c>
      <c r="M7" s="5">
        <v>0</v>
      </c>
      <c r="N7" s="23">
        <f t="shared" si="2"/>
        <v>0</v>
      </c>
      <c r="O7" s="5">
        <f t="shared" si="3"/>
        <v>0</v>
      </c>
    </row>
    <row r="8" spans="1:15" x14ac:dyDescent="0.25">
      <c r="A8" s="38" t="s">
        <v>22</v>
      </c>
      <c r="B8" s="2">
        <v>80</v>
      </c>
      <c r="C8" s="4">
        <f>3/17</f>
        <v>0.17647058823529413</v>
      </c>
      <c r="D8" s="4">
        <v>0</v>
      </c>
      <c r="E8" s="5">
        <f>1/17</f>
        <v>5.8823529411764705E-2</v>
      </c>
      <c r="F8" s="4">
        <f t="shared" si="0"/>
        <v>7.8431372549019607E-2</v>
      </c>
      <c r="G8" s="5">
        <f t="shared" si="1"/>
        <v>5.1877476687541002E-2</v>
      </c>
      <c r="I8" s="44" t="s">
        <v>22</v>
      </c>
      <c r="J8" s="2">
        <v>160</v>
      </c>
      <c r="K8" s="23">
        <f>2/17</f>
        <v>0.11764705882352941</v>
      </c>
      <c r="L8" s="23">
        <f>8/20</f>
        <v>0.4</v>
      </c>
      <c r="M8" s="5">
        <v>0</v>
      </c>
      <c r="N8" s="23">
        <f t="shared" si="2"/>
        <v>0.17254901960784316</v>
      </c>
      <c r="O8" s="5">
        <f t="shared" si="3"/>
        <v>0.11868820353271808</v>
      </c>
    </row>
    <row r="9" spans="1:15" x14ac:dyDescent="0.25">
      <c r="A9" s="38" t="s">
        <v>22</v>
      </c>
      <c r="B9" s="2">
        <v>120</v>
      </c>
      <c r="C9" s="4">
        <f>8/20</f>
        <v>0.4</v>
      </c>
      <c r="D9" s="4">
        <f>16/20</f>
        <v>0.8</v>
      </c>
      <c r="E9" s="5">
        <f>11/20</f>
        <v>0.55000000000000004</v>
      </c>
      <c r="F9" s="4">
        <f t="shared" si="0"/>
        <v>0.58333333333333337</v>
      </c>
      <c r="G9" s="5">
        <f t="shared" si="1"/>
        <v>0.1166666666666666</v>
      </c>
      <c r="I9" s="44" t="s">
        <v>22</v>
      </c>
      <c r="J9" s="2">
        <v>320</v>
      </c>
      <c r="K9" s="23">
        <f>13/20</f>
        <v>0.65</v>
      </c>
      <c r="L9" s="23">
        <f>5/20</f>
        <v>0.25</v>
      </c>
      <c r="M9" s="5">
        <f>8/20</f>
        <v>0.4</v>
      </c>
      <c r="N9" s="23">
        <f t="shared" si="2"/>
        <v>0.43333333333333335</v>
      </c>
      <c r="O9" s="5">
        <f t="shared" si="3"/>
        <v>0.11666666666666668</v>
      </c>
    </row>
    <row r="10" spans="1:15" x14ac:dyDescent="0.25">
      <c r="A10" s="38" t="s">
        <v>22</v>
      </c>
      <c r="B10" s="2">
        <v>160</v>
      </c>
      <c r="C10" s="4">
        <f>19/20</f>
        <v>0.95</v>
      </c>
      <c r="D10" s="4">
        <v>1</v>
      </c>
      <c r="E10" s="5">
        <v>1</v>
      </c>
      <c r="F10" s="4">
        <f t="shared" si="0"/>
        <v>0.98333333333333339</v>
      </c>
      <c r="G10" s="5">
        <f t="shared" si="1"/>
        <v>1.6666666666666684E-2</v>
      </c>
      <c r="I10" s="44" t="s">
        <v>22</v>
      </c>
      <c r="J10" s="6">
        <v>0</v>
      </c>
      <c r="K10" s="7">
        <v>0</v>
      </c>
      <c r="L10" s="7">
        <v>0</v>
      </c>
      <c r="M10" s="8"/>
      <c r="N10" s="7">
        <f>AVERAGE(K10:M10)</f>
        <v>0</v>
      </c>
      <c r="O10" s="12">
        <f>_xlfn.STDEV.S(K10:M10)/SQRT(3)</f>
        <v>0</v>
      </c>
    </row>
    <row r="11" spans="1:15" x14ac:dyDescent="0.25">
      <c r="A11" s="38" t="s">
        <v>22</v>
      </c>
      <c r="B11" s="2">
        <v>0</v>
      </c>
      <c r="C11" s="23">
        <v>0</v>
      </c>
      <c r="D11" s="23">
        <v>0</v>
      </c>
      <c r="E11" s="5">
        <v>0</v>
      </c>
      <c r="F11" s="23">
        <f t="shared" si="0"/>
        <v>0</v>
      </c>
      <c r="G11" s="3">
        <f t="shared" si="1"/>
        <v>0</v>
      </c>
      <c r="I11" s="42" t="s">
        <v>23</v>
      </c>
      <c r="J11" s="9">
        <v>320</v>
      </c>
      <c r="K11" s="13">
        <v>1</v>
      </c>
      <c r="L11" s="13">
        <v>1</v>
      </c>
      <c r="M11" s="13">
        <v>1</v>
      </c>
      <c r="N11" s="13">
        <v>1</v>
      </c>
      <c r="O11" s="14">
        <v>0</v>
      </c>
    </row>
    <row r="12" spans="1:15" x14ac:dyDescent="0.25">
      <c r="A12" s="42" t="s">
        <v>24</v>
      </c>
      <c r="B12" s="13">
        <v>40</v>
      </c>
      <c r="C12" s="10">
        <f>1/16</f>
        <v>6.25E-2</v>
      </c>
      <c r="D12" s="10">
        <f>2/14</f>
        <v>0.14285714285714285</v>
      </c>
      <c r="E12" s="11">
        <f>3/17</f>
        <v>0.17647058823529413</v>
      </c>
      <c r="F12" s="10">
        <f>AVERAGE(C12:E12)</f>
        <v>0.12727591036414565</v>
      </c>
      <c r="G12" s="11">
        <f>_xlfn.STDEV.S(C12:E12)/SQRT(3)</f>
        <v>3.3810278763394659E-2</v>
      </c>
      <c r="I12" s="43" t="s">
        <v>23</v>
      </c>
      <c r="J12" s="6">
        <v>640</v>
      </c>
      <c r="K12" s="15">
        <v>1</v>
      </c>
      <c r="L12" s="15">
        <v>1</v>
      </c>
      <c r="M12" s="15">
        <v>1</v>
      </c>
      <c r="N12" s="15">
        <v>1</v>
      </c>
      <c r="O12" s="12">
        <v>0</v>
      </c>
    </row>
    <row r="13" spans="1:15" x14ac:dyDescent="0.25">
      <c r="A13" s="44" t="s">
        <v>24</v>
      </c>
      <c r="B13" s="36">
        <v>30</v>
      </c>
      <c r="C13" s="23">
        <f>1/12</f>
        <v>8.3333333333333329E-2</v>
      </c>
      <c r="D13" s="23">
        <f>4/14</f>
        <v>0.2857142857142857</v>
      </c>
      <c r="E13" s="5">
        <v>0</v>
      </c>
      <c r="F13" s="23">
        <f t="shared" ref="F13:F16" si="4">AVERAGE(C13:E13)</f>
        <v>0.12301587301587301</v>
      </c>
      <c r="G13" s="5">
        <f t="shared" ref="G13:G16" si="5">_xlfn.STDEV.S(C13:E13)/SQRT(3)</f>
        <v>8.4831580660444258E-2</v>
      </c>
    </row>
    <row r="14" spans="1:15" x14ac:dyDescent="0.25">
      <c r="A14" s="44" t="s">
        <v>24</v>
      </c>
      <c r="B14" s="36">
        <v>25</v>
      </c>
      <c r="C14" s="23">
        <f>4/22</f>
        <v>0.18181818181818182</v>
      </c>
      <c r="D14" s="36">
        <v>0</v>
      </c>
      <c r="E14" s="3">
        <v>0</v>
      </c>
      <c r="F14" s="23">
        <f t="shared" si="4"/>
        <v>6.0606060606060608E-2</v>
      </c>
      <c r="G14" s="5">
        <f t="shared" si="5"/>
        <v>6.0606060606060608E-2</v>
      </c>
    </row>
    <row r="15" spans="1:15" x14ac:dyDescent="0.25">
      <c r="A15" s="44" t="s">
        <v>24</v>
      </c>
      <c r="B15" s="36">
        <v>20</v>
      </c>
      <c r="C15" s="36">
        <v>0</v>
      </c>
      <c r="D15" s="36">
        <f>1/20</f>
        <v>0.05</v>
      </c>
      <c r="E15" s="3">
        <v>0</v>
      </c>
      <c r="F15" s="23">
        <f t="shared" si="4"/>
        <v>1.6666666666666666E-2</v>
      </c>
      <c r="G15" s="5">
        <f t="shared" si="5"/>
        <v>1.666666666666667E-2</v>
      </c>
    </row>
    <row r="16" spans="1:15" x14ac:dyDescent="0.25">
      <c r="A16" s="43" t="s">
        <v>24</v>
      </c>
      <c r="B16" s="15">
        <v>15</v>
      </c>
      <c r="C16" s="15">
        <f>1/15</f>
        <v>6.6666666666666666E-2</v>
      </c>
      <c r="D16" s="15">
        <f>2/8</f>
        <v>0.25</v>
      </c>
      <c r="E16" s="15">
        <v>0</v>
      </c>
      <c r="F16" s="7">
        <f t="shared" si="4"/>
        <v>0.10555555555555556</v>
      </c>
      <c r="G16" s="8">
        <f t="shared" si="5"/>
        <v>7.4742355817076167E-2</v>
      </c>
    </row>
    <row r="17" spans="1:15" x14ac:dyDescent="0.25">
      <c r="A17" s="36"/>
      <c r="B17" s="36"/>
      <c r="C17" s="36"/>
      <c r="D17" s="36"/>
      <c r="E17" s="36"/>
      <c r="F17" s="36"/>
      <c r="G17" s="36"/>
    </row>
    <row r="18" spans="1:15" x14ac:dyDescent="0.25">
      <c r="B18" s="1"/>
      <c r="J18" s="1"/>
    </row>
    <row r="20" spans="1:15" x14ac:dyDescent="0.25">
      <c r="A20" s="24" t="s">
        <v>16</v>
      </c>
      <c r="B20" s="19" t="s">
        <v>5</v>
      </c>
      <c r="C20" s="20"/>
      <c r="D20" s="20"/>
      <c r="E20" s="21"/>
      <c r="F20" s="25" t="s">
        <v>17</v>
      </c>
      <c r="G20" s="25" t="s">
        <v>18</v>
      </c>
      <c r="I20" s="24" t="s">
        <v>16</v>
      </c>
      <c r="J20" s="19" t="s">
        <v>5</v>
      </c>
      <c r="K20" s="20"/>
      <c r="L20" s="20"/>
      <c r="M20" s="21"/>
      <c r="N20" s="29" t="s">
        <v>17</v>
      </c>
      <c r="O20" s="25" t="s">
        <v>18</v>
      </c>
    </row>
    <row r="21" spans="1:15" x14ac:dyDescent="0.25">
      <c r="A21" s="37"/>
      <c r="B21" s="6" t="s">
        <v>21</v>
      </c>
      <c r="C21" s="15" t="s">
        <v>0</v>
      </c>
      <c r="D21" s="15" t="s">
        <v>1</v>
      </c>
      <c r="E21" s="12" t="s">
        <v>2</v>
      </c>
      <c r="F21" s="22" t="s">
        <v>17</v>
      </c>
      <c r="G21" s="22" t="s">
        <v>17</v>
      </c>
      <c r="I21" s="26"/>
      <c r="J21" s="6" t="s">
        <v>21</v>
      </c>
      <c r="K21" s="15" t="s">
        <v>0</v>
      </c>
      <c r="L21" s="15" t="s">
        <v>1</v>
      </c>
      <c r="M21" s="12" t="s">
        <v>2</v>
      </c>
      <c r="N21" s="32"/>
      <c r="O21" s="27"/>
    </row>
    <row r="22" spans="1:15" x14ac:dyDescent="0.25">
      <c r="A22" s="38" t="s">
        <v>22</v>
      </c>
      <c r="B22" s="9">
        <v>20</v>
      </c>
      <c r="C22" s="10">
        <f>1/17</f>
        <v>5.8823529411764705E-2</v>
      </c>
      <c r="D22" s="10">
        <v>0</v>
      </c>
      <c r="E22" s="11">
        <f>1/43</f>
        <v>2.3255813953488372E-2</v>
      </c>
      <c r="F22" s="33">
        <f>AVERAGE(C22:E22)</f>
        <v>2.7359781121751026E-2</v>
      </c>
      <c r="G22" s="11">
        <f>_xlfn.STDEV.S(C22:E22)/SQRT(3)</f>
        <v>1.7104422556781625E-2</v>
      </c>
      <c r="I22" s="44" t="s">
        <v>22</v>
      </c>
      <c r="J22" s="9">
        <v>40</v>
      </c>
      <c r="K22" s="23">
        <f>17/20</f>
        <v>0.85</v>
      </c>
      <c r="L22" s="23">
        <f>2/14</f>
        <v>0.14285714285714285</v>
      </c>
      <c r="M22" s="5">
        <f>4/14</f>
        <v>0.2857142857142857</v>
      </c>
      <c r="N22" s="23">
        <f>AVERAGE(K22:M22)</f>
        <v>0.42619047619047618</v>
      </c>
      <c r="O22" s="5">
        <f>_xlfn.STDEV.S(K22:M22)/SQRT(3)</f>
        <v>0.21588031033427457</v>
      </c>
    </row>
    <row r="23" spans="1:15" x14ac:dyDescent="0.25">
      <c r="A23" s="38" t="s">
        <v>22</v>
      </c>
      <c r="B23" s="2">
        <v>40</v>
      </c>
      <c r="C23" s="23">
        <f>1/17</f>
        <v>5.8823529411764705E-2</v>
      </c>
      <c r="D23" s="23">
        <f>2/16</f>
        <v>0.125</v>
      </c>
      <c r="E23" s="5">
        <f>2/18</f>
        <v>0.1111111111111111</v>
      </c>
      <c r="F23" s="34">
        <f t="shared" ref="F23:F28" si="6">AVERAGE(C23:E23)</f>
        <v>9.8311546840958608E-2</v>
      </c>
      <c r="G23" s="5">
        <f t="shared" ref="G23:G28" si="7">_xlfn.STDEV.S(C23:E23)/SQRT(3)</f>
        <v>2.0146984464250173E-2</v>
      </c>
      <c r="I23" s="44" t="s">
        <v>22</v>
      </c>
      <c r="J23" s="2">
        <v>80</v>
      </c>
      <c r="K23" s="23">
        <f>11/17</f>
        <v>0.6470588235294118</v>
      </c>
      <c r="L23" s="23">
        <f>17/20</f>
        <v>0.85</v>
      </c>
      <c r="M23" s="5">
        <f>20/22</f>
        <v>0.90909090909090906</v>
      </c>
      <c r="N23" s="23">
        <f t="shared" ref="N23:N28" si="8">AVERAGE(K23:M23)</f>
        <v>0.80204991087344035</v>
      </c>
      <c r="O23" s="5">
        <f t="shared" ref="O23:O28" si="9">_xlfn.STDEV.S(K23:M23)/SQRT(3)</f>
        <v>7.9350723061945308E-2</v>
      </c>
    </row>
    <row r="24" spans="1:15" x14ac:dyDescent="0.25">
      <c r="A24" s="38" t="s">
        <v>22</v>
      </c>
      <c r="B24" s="2">
        <v>60</v>
      </c>
      <c r="C24" s="23">
        <f>12/20</f>
        <v>0.6</v>
      </c>
      <c r="D24" s="23">
        <f>18/20</f>
        <v>0.9</v>
      </c>
      <c r="E24" s="5"/>
      <c r="F24" s="34">
        <f t="shared" si="6"/>
        <v>0.75</v>
      </c>
      <c r="G24" s="5">
        <f>_xlfn.STDEV.S(C24:E24)/SQRT(2)</f>
        <v>0.14999999999999988</v>
      </c>
      <c r="I24" s="44" t="s">
        <v>22</v>
      </c>
      <c r="J24" s="2">
        <v>120</v>
      </c>
      <c r="K24" s="23">
        <f>12/18</f>
        <v>0.66666666666666663</v>
      </c>
      <c r="L24" s="23">
        <f>11/19</f>
        <v>0.57894736842105265</v>
      </c>
      <c r="M24" s="5">
        <f>17/21</f>
        <v>0.80952380952380953</v>
      </c>
      <c r="N24" s="23">
        <f t="shared" si="8"/>
        <v>0.68504594820384279</v>
      </c>
      <c r="O24" s="5">
        <f t="shared" si="9"/>
        <v>6.7193060877520666E-2</v>
      </c>
    </row>
    <row r="25" spans="1:15" x14ac:dyDescent="0.25">
      <c r="A25" s="38" t="s">
        <v>22</v>
      </c>
      <c r="B25" s="2">
        <v>80</v>
      </c>
      <c r="C25" s="23">
        <f>10/17</f>
        <v>0.58823529411764708</v>
      </c>
      <c r="D25" s="23">
        <f>19/21</f>
        <v>0.90476190476190477</v>
      </c>
      <c r="E25" s="5">
        <f>5/17</f>
        <v>0.29411764705882354</v>
      </c>
      <c r="F25" s="34">
        <f t="shared" si="6"/>
        <v>0.59570494864612511</v>
      </c>
      <c r="G25" s="5">
        <f t="shared" si="7"/>
        <v>0.17631737404513667</v>
      </c>
      <c r="I25" s="44" t="s">
        <v>22</v>
      </c>
      <c r="J25" s="2">
        <v>160</v>
      </c>
      <c r="K25" s="23">
        <f>16/17</f>
        <v>0.94117647058823528</v>
      </c>
      <c r="L25" s="23">
        <v>1</v>
      </c>
      <c r="M25" s="5">
        <f>18/22</f>
        <v>0.81818181818181823</v>
      </c>
      <c r="N25" s="23">
        <f t="shared" si="8"/>
        <v>0.9197860962566845</v>
      </c>
      <c r="O25" s="5">
        <f t="shared" si="9"/>
        <v>5.3564988239988287E-2</v>
      </c>
    </row>
    <row r="26" spans="1:15" x14ac:dyDescent="0.25">
      <c r="A26" s="38" t="s">
        <v>22</v>
      </c>
      <c r="B26" s="2">
        <v>120</v>
      </c>
      <c r="C26" s="23">
        <v>1</v>
      </c>
      <c r="D26" s="23">
        <v>1</v>
      </c>
      <c r="E26" s="5">
        <v>1</v>
      </c>
      <c r="F26" s="34">
        <f t="shared" si="6"/>
        <v>1</v>
      </c>
      <c r="G26" s="3">
        <f t="shared" si="7"/>
        <v>0</v>
      </c>
      <c r="I26" s="44" t="s">
        <v>22</v>
      </c>
      <c r="J26" s="2">
        <v>320</v>
      </c>
      <c r="K26" s="23">
        <v>1</v>
      </c>
      <c r="L26" s="23">
        <v>1</v>
      </c>
      <c r="M26" s="5">
        <v>1</v>
      </c>
      <c r="N26" s="23">
        <f t="shared" si="8"/>
        <v>1</v>
      </c>
      <c r="O26" s="5">
        <f t="shared" si="9"/>
        <v>0</v>
      </c>
    </row>
    <row r="27" spans="1:15" x14ac:dyDescent="0.25">
      <c r="A27" s="38" t="s">
        <v>22</v>
      </c>
      <c r="B27" s="2">
        <v>160</v>
      </c>
      <c r="C27" s="23">
        <v>1</v>
      </c>
      <c r="D27" s="23">
        <v>1</v>
      </c>
      <c r="E27" s="5">
        <v>1</v>
      </c>
      <c r="F27" s="34">
        <f t="shared" si="6"/>
        <v>1</v>
      </c>
      <c r="G27" s="3">
        <f t="shared" si="7"/>
        <v>0</v>
      </c>
      <c r="I27" s="44" t="s">
        <v>22</v>
      </c>
      <c r="J27" s="6">
        <v>0</v>
      </c>
      <c r="K27" s="7">
        <v>0</v>
      </c>
      <c r="L27" s="7">
        <v>0</v>
      </c>
      <c r="M27" s="8">
        <v>0</v>
      </c>
      <c r="N27" s="7">
        <f>AVERAGE(K27:M27)</f>
        <v>0</v>
      </c>
      <c r="O27" s="12">
        <f>_xlfn.STDEV.S(K27:M27)/SQRT(3)</f>
        <v>0</v>
      </c>
    </row>
    <row r="28" spans="1:15" x14ac:dyDescent="0.25">
      <c r="A28" s="38" t="s">
        <v>22</v>
      </c>
      <c r="B28" s="6">
        <v>0</v>
      </c>
      <c r="C28" s="7">
        <v>0</v>
      </c>
      <c r="D28" s="7">
        <v>0</v>
      </c>
      <c r="E28" s="8">
        <v>0</v>
      </c>
      <c r="F28" s="35">
        <f t="shared" si="6"/>
        <v>0</v>
      </c>
      <c r="G28" s="12">
        <f t="shared" si="7"/>
        <v>0</v>
      </c>
      <c r="I28" s="42" t="s">
        <v>23</v>
      </c>
      <c r="J28" s="9">
        <v>320</v>
      </c>
      <c r="K28" s="13">
        <v>1</v>
      </c>
      <c r="L28" s="13">
        <v>1</v>
      </c>
      <c r="M28" s="13">
        <v>1</v>
      </c>
      <c r="N28" s="13">
        <v>1</v>
      </c>
      <c r="O28" s="14">
        <v>0</v>
      </c>
    </row>
    <row r="29" spans="1:15" x14ac:dyDescent="0.25">
      <c r="A29" s="42" t="s">
        <v>24</v>
      </c>
      <c r="B29" s="9">
        <v>40</v>
      </c>
      <c r="C29" s="10">
        <f>4/16</f>
        <v>0.25</v>
      </c>
      <c r="D29" s="10">
        <f>12/14</f>
        <v>0.8571428571428571</v>
      </c>
      <c r="E29" s="11">
        <f>15/17</f>
        <v>0.88235294117647056</v>
      </c>
      <c r="F29" s="33">
        <f>AVERAGE(C29:E29)</f>
        <v>0.66316526610644255</v>
      </c>
      <c r="G29" s="11">
        <f>_xlfn.STDEV.S(C29:E29)/SQRT(3)</f>
        <v>0.20671078017514474</v>
      </c>
      <c r="I29" s="43" t="s">
        <v>23</v>
      </c>
      <c r="J29" s="6">
        <v>640</v>
      </c>
      <c r="K29" s="15">
        <v>1</v>
      </c>
      <c r="L29" s="15">
        <v>1</v>
      </c>
      <c r="M29" s="15">
        <v>1</v>
      </c>
      <c r="N29" s="15">
        <v>1</v>
      </c>
      <c r="O29" s="12">
        <v>0</v>
      </c>
    </row>
    <row r="30" spans="1:15" x14ac:dyDescent="0.25">
      <c r="A30" s="44" t="s">
        <v>24</v>
      </c>
      <c r="B30" s="2">
        <v>30</v>
      </c>
      <c r="C30" s="23">
        <f>4/12</f>
        <v>0.33333333333333331</v>
      </c>
      <c r="D30" s="23">
        <f>6/14</f>
        <v>0.42857142857142855</v>
      </c>
      <c r="E30" s="5">
        <f>1/18</f>
        <v>5.5555555555555552E-2</v>
      </c>
      <c r="F30" s="34">
        <f t="shared" ref="F30:F33" si="10">AVERAGE(C30:E30)</f>
        <v>0.2724867724867725</v>
      </c>
      <c r="G30" s="5">
        <f t="shared" ref="G30:G33" si="11">_xlfn.STDEV.S(C30:E30)/SQRT(3)</f>
        <v>0.11189569302940001</v>
      </c>
    </row>
    <row r="31" spans="1:15" x14ac:dyDescent="0.25">
      <c r="A31" s="44" t="s">
        <v>24</v>
      </c>
      <c r="B31" s="2">
        <v>25</v>
      </c>
      <c r="C31" s="23">
        <f>20/22</f>
        <v>0.90909090909090906</v>
      </c>
      <c r="D31" s="36">
        <f>10/13</f>
        <v>0.76923076923076927</v>
      </c>
      <c r="E31" s="3">
        <f>19/20</f>
        <v>0.95</v>
      </c>
      <c r="F31" s="34">
        <f t="shared" si="10"/>
        <v>0.87610722610722613</v>
      </c>
      <c r="G31" s="5">
        <f t="shared" si="11"/>
        <v>5.4727571374341463E-2</v>
      </c>
    </row>
    <row r="32" spans="1:15" x14ac:dyDescent="0.25">
      <c r="A32" s="44" t="s">
        <v>24</v>
      </c>
      <c r="B32" s="2">
        <v>20</v>
      </c>
      <c r="C32" s="36">
        <f>6/12</f>
        <v>0.5</v>
      </c>
      <c r="D32" s="36">
        <f>16/20</f>
        <v>0.8</v>
      </c>
      <c r="E32" s="17">
        <f>5/15</f>
        <v>0.33333333333333331</v>
      </c>
      <c r="F32" s="34">
        <f t="shared" si="10"/>
        <v>0.5444444444444444</v>
      </c>
      <c r="G32" s="5">
        <f t="shared" si="11"/>
        <v>0.13653561919382795</v>
      </c>
    </row>
    <row r="33" spans="1:7" x14ac:dyDescent="0.25">
      <c r="A33" s="43" t="s">
        <v>24</v>
      </c>
      <c r="B33" s="6">
        <v>15</v>
      </c>
      <c r="C33" s="15">
        <f>9/15</f>
        <v>0.6</v>
      </c>
      <c r="D33" s="15">
        <f>4/8</f>
        <v>0.5</v>
      </c>
      <c r="E33" s="18">
        <f>10/14</f>
        <v>0.7142857142857143</v>
      </c>
      <c r="F33" s="35">
        <f t="shared" si="10"/>
        <v>0.60476190476190483</v>
      </c>
      <c r="G33" s="8">
        <f t="shared" si="11"/>
        <v>6.1904761904761477E-2</v>
      </c>
    </row>
  </sheetData>
  <mergeCells count="16">
    <mergeCell ref="N3:N4"/>
    <mergeCell ref="O3:O4"/>
    <mergeCell ref="A20:A21"/>
    <mergeCell ref="F20:F21"/>
    <mergeCell ref="G20:G21"/>
    <mergeCell ref="I20:I21"/>
    <mergeCell ref="N20:N21"/>
    <mergeCell ref="O20:O21"/>
    <mergeCell ref="B3:E3"/>
    <mergeCell ref="J3:M3"/>
    <mergeCell ref="B20:E20"/>
    <mergeCell ref="J20:M20"/>
    <mergeCell ref="A3:A4"/>
    <mergeCell ref="F3:F4"/>
    <mergeCell ref="G3:G4"/>
    <mergeCell ref="I3:I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tabSelected="1" workbookViewId="0">
      <selection activeCell="A22" sqref="A22:A28"/>
    </sheetView>
  </sheetViews>
  <sheetFormatPr baseColWidth="10" defaultRowHeight="15" x14ac:dyDescent="0.25"/>
  <sheetData>
    <row r="1" spans="1:8" x14ac:dyDescent="0.25">
      <c r="D1" t="s">
        <v>10</v>
      </c>
    </row>
    <row r="3" spans="1:8" x14ac:dyDescent="0.25">
      <c r="A3" s="24" t="s">
        <v>16</v>
      </c>
      <c r="B3" s="24" t="s">
        <v>20</v>
      </c>
      <c r="C3" s="19" t="s">
        <v>3</v>
      </c>
      <c r="D3" s="20"/>
      <c r="E3" s="20"/>
      <c r="F3" s="21"/>
      <c r="G3" s="25" t="s">
        <v>17</v>
      </c>
      <c r="H3" s="25" t="s">
        <v>18</v>
      </c>
    </row>
    <row r="4" spans="1:8" x14ac:dyDescent="0.25">
      <c r="A4" s="26"/>
      <c r="B4" s="26"/>
      <c r="C4" s="6" t="s">
        <v>21</v>
      </c>
      <c r="D4" s="15" t="s">
        <v>0</v>
      </c>
      <c r="E4" s="15" t="s">
        <v>1</v>
      </c>
      <c r="F4" s="12" t="s">
        <v>2</v>
      </c>
      <c r="G4" s="27" t="s">
        <v>17</v>
      </c>
      <c r="H4" s="27" t="s">
        <v>17</v>
      </c>
    </row>
    <row r="5" spans="1:8" x14ac:dyDescent="0.25">
      <c r="A5" s="38" t="s">
        <v>25</v>
      </c>
      <c r="B5" s="36" t="s">
        <v>11</v>
      </c>
      <c r="C5" s="9">
        <v>30</v>
      </c>
      <c r="D5" s="10">
        <v>0</v>
      </c>
      <c r="E5" s="10">
        <v>0</v>
      </c>
      <c r="F5" s="11">
        <f>2/16</f>
        <v>0.125</v>
      </c>
      <c r="G5" s="10">
        <f>AVERAGE(D5:F5)</f>
        <v>4.1666666666666664E-2</v>
      </c>
      <c r="H5" s="11">
        <f>_xlfn.STDEV.S(D5:F5)/SQRT(3)</f>
        <v>4.1666666666666671E-2</v>
      </c>
    </row>
    <row r="6" spans="1:8" x14ac:dyDescent="0.25">
      <c r="A6" s="38" t="s">
        <v>25</v>
      </c>
      <c r="B6" s="36" t="s">
        <v>12</v>
      </c>
      <c r="C6" s="2">
        <v>72</v>
      </c>
      <c r="D6" s="23">
        <f>5/19</f>
        <v>0.26315789473684209</v>
      </c>
      <c r="E6" s="23">
        <f>7/18</f>
        <v>0.3888888888888889</v>
      </c>
      <c r="F6" s="5">
        <f>7/13</f>
        <v>0.53846153846153844</v>
      </c>
      <c r="G6" s="23">
        <f t="shared" ref="G6:G11" si="0">AVERAGE(D6:F6)</f>
        <v>0.39683610736242314</v>
      </c>
      <c r="H6" s="5">
        <f t="shared" ref="H6:H11" si="1">_xlfn.STDEV.S(D6:F6)/SQRT(3)</f>
        <v>7.9572593215510246E-2</v>
      </c>
    </row>
    <row r="7" spans="1:8" x14ac:dyDescent="0.25">
      <c r="A7" s="38" t="s">
        <v>25</v>
      </c>
      <c r="B7" s="36" t="s">
        <v>12</v>
      </c>
      <c r="C7" s="2">
        <v>36</v>
      </c>
      <c r="D7" s="23">
        <f>3/14</f>
        <v>0.21428571428571427</v>
      </c>
      <c r="E7" s="23">
        <f>3/13</f>
        <v>0.23076923076923078</v>
      </c>
      <c r="F7" s="5">
        <v>0</v>
      </c>
      <c r="G7" s="23">
        <f t="shared" si="0"/>
        <v>0.14835164835164835</v>
      </c>
      <c r="H7" s="5">
        <f t="shared" si="1"/>
        <v>7.4328292628948828E-2</v>
      </c>
    </row>
    <row r="8" spans="1:8" x14ac:dyDescent="0.25">
      <c r="A8" s="38" t="s">
        <v>25</v>
      </c>
      <c r="B8" s="36" t="s">
        <v>13</v>
      </c>
      <c r="C8" s="2" t="s">
        <v>14</v>
      </c>
      <c r="D8" s="23">
        <v>0</v>
      </c>
      <c r="E8" s="23">
        <v>0</v>
      </c>
      <c r="F8" s="5">
        <v>0</v>
      </c>
      <c r="G8" s="23">
        <f t="shared" si="0"/>
        <v>0</v>
      </c>
      <c r="H8" s="5">
        <f t="shared" si="1"/>
        <v>0</v>
      </c>
    </row>
    <row r="9" spans="1:8" x14ac:dyDescent="0.25">
      <c r="A9" s="38" t="s">
        <v>25</v>
      </c>
      <c r="B9" s="36" t="s">
        <v>13</v>
      </c>
      <c r="C9" s="16">
        <v>0.65</v>
      </c>
      <c r="D9" s="23">
        <v>0</v>
      </c>
      <c r="E9" s="23">
        <v>0</v>
      </c>
      <c r="F9" s="5">
        <v>0</v>
      </c>
      <c r="G9" s="23">
        <f t="shared" si="0"/>
        <v>0</v>
      </c>
      <c r="H9" s="5">
        <f t="shared" si="1"/>
        <v>0</v>
      </c>
    </row>
    <row r="10" spans="1:8" x14ac:dyDescent="0.25">
      <c r="A10" s="38" t="s">
        <v>25</v>
      </c>
      <c r="B10" s="36" t="s">
        <v>13</v>
      </c>
      <c r="C10" s="2" t="s">
        <v>15</v>
      </c>
      <c r="D10" s="23">
        <v>0</v>
      </c>
      <c r="E10" s="23">
        <f>2/15</f>
        <v>0.13333333333333333</v>
      </c>
      <c r="F10" s="5">
        <v>0</v>
      </c>
      <c r="G10" s="23">
        <f t="shared" si="0"/>
        <v>4.4444444444444446E-2</v>
      </c>
      <c r="H10" s="5">
        <f t="shared" si="1"/>
        <v>4.4444444444444446E-2</v>
      </c>
    </row>
    <row r="11" spans="1:8" x14ac:dyDescent="0.25">
      <c r="A11" s="38" t="s">
        <v>25</v>
      </c>
      <c r="B11" s="15" t="s">
        <v>19</v>
      </c>
      <c r="C11" s="6">
        <v>0</v>
      </c>
      <c r="D11" s="7">
        <v>0</v>
      </c>
      <c r="E11" s="7">
        <v>0</v>
      </c>
      <c r="F11" s="8">
        <v>0</v>
      </c>
      <c r="G11" s="7">
        <f t="shared" si="0"/>
        <v>0</v>
      </c>
      <c r="H11" s="12">
        <f t="shared" si="1"/>
        <v>0</v>
      </c>
    </row>
    <row r="18" spans="1:8" x14ac:dyDescent="0.25">
      <c r="C18" s="1"/>
    </row>
    <row r="20" spans="1:8" x14ac:dyDescent="0.25">
      <c r="A20" s="24" t="s">
        <v>16</v>
      </c>
      <c r="B20" s="24" t="s">
        <v>20</v>
      </c>
      <c r="C20" s="19" t="s">
        <v>5</v>
      </c>
      <c r="D20" s="20"/>
      <c r="E20" s="20"/>
      <c r="F20" s="21"/>
      <c r="G20" s="25" t="s">
        <v>17</v>
      </c>
      <c r="H20" s="25" t="s">
        <v>18</v>
      </c>
    </row>
    <row r="21" spans="1:8" x14ac:dyDescent="0.25">
      <c r="A21" s="26"/>
      <c r="B21" s="26"/>
      <c r="C21" s="6" t="s">
        <v>21</v>
      </c>
      <c r="D21" s="15" t="s">
        <v>0</v>
      </c>
      <c r="E21" s="15" t="s">
        <v>1</v>
      </c>
      <c r="F21" s="12" t="s">
        <v>2</v>
      </c>
      <c r="G21" s="27" t="s">
        <v>17</v>
      </c>
      <c r="H21" s="27" t="s">
        <v>17</v>
      </c>
    </row>
    <row r="22" spans="1:8" x14ac:dyDescent="0.25">
      <c r="A22" s="38" t="s">
        <v>25</v>
      </c>
      <c r="B22" s="36" t="s">
        <v>11</v>
      </c>
      <c r="C22" s="9">
        <v>30</v>
      </c>
      <c r="D22" s="10">
        <v>0</v>
      </c>
      <c r="E22" s="10">
        <f>1/18</f>
        <v>5.5555555555555552E-2</v>
      </c>
      <c r="F22" s="11">
        <f>2/16</f>
        <v>0.125</v>
      </c>
      <c r="G22" s="23">
        <f>AVERAGE(D22:F22)</f>
        <v>6.0185185185185182E-2</v>
      </c>
      <c r="H22" s="5">
        <f>_xlfn.STDEV.S(D22:F22)/SQRT(3)</f>
        <v>3.6158563314382663E-2</v>
      </c>
    </row>
    <row r="23" spans="1:8" x14ac:dyDescent="0.25">
      <c r="A23" s="38" t="s">
        <v>25</v>
      </c>
      <c r="B23" s="36" t="s">
        <v>12</v>
      </c>
      <c r="C23" s="2">
        <v>72</v>
      </c>
      <c r="D23" s="23">
        <f>13/19</f>
        <v>0.68421052631578949</v>
      </c>
      <c r="E23" s="23">
        <f>17/18</f>
        <v>0.94444444444444442</v>
      </c>
      <c r="F23" s="5">
        <f>12/13</f>
        <v>0.92307692307692313</v>
      </c>
      <c r="G23" s="23">
        <f t="shared" ref="G23:G28" si="2">AVERAGE(D23:F23)</f>
        <v>0.85057729794571912</v>
      </c>
      <c r="H23" s="5">
        <f t="shared" ref="H23:H28" si="3">_xlfn.STDEV.S(D23:F23)/SQRT(3)</f>
        <v>8.3411769292011634E-2</v>
      </c>
    </row>
    <row r="24" spans="1:8" x14ac:dyDescent="0.25">
      <c r="A24" s="38" t="s">
        <v>25</v>
      </c>
      <c r="B24" s="36" t="s">
        <v>12</v>
      </c>
      <c r="C24" s="2">
        <v>36</v>
      </c>
      <c r="D24" s="23">
        <f>7/14</f>
        <v>0.5</v>
      </c>
      <c r="E24" s="23">
        <f>3/13</f>
        <v>0.23076923076923078</v>
      </c>
      <c r="F24" s="5">
        <v>0</v>
      </c>
      <c r="G24" s="23">
        <f t="shared" si="2"/>
        <v>0.24358974358974361</v>
      </c>
      <c r="H24" s="5">
        <f>_xlfn.STDEV.S(D24:F24)/SQRT(2)</f>
        <v>0.17695094540823408</v>
      </c>
    </row>
    <row r="25" spans="1:8" x14ac:dyDescent="0.25">
      <c r="A25" s="38" t="s">
        <v>25</v>
      </c>
      <c r="B25" s="36" t="s">
        <v>13</v>
      </c>
      <c r="C25" s="2" t="s">
        <v>14</v>
      </c>
      <c r="D25" s="23">
        <v>0.1</v>
      </c>
      <c r="E25" s="23">
        <v>0.1</v>
      </c>
      <c r="F25" s="5">
        <f>2/19</f>
        <v>0.10526315789473684</v>
      </c>
      <c r="G25" s="23">
        <f t="shared" si="2"/>
        <v>0.10175438596491228</v>
      </c>
      <c r="H25" s="5">
        <f t="shared" si="3"/>
        <v>1.7543859649122768E-3</v>
      </c>
    </row>
    <row r="26" spans="1:8" x14ac:dyDescent="0.25">
      <c r="A26" s="38" t="s">
        <v>25</v>
      </c>
      <c r="B26" s="36" t="s">
        <v>13</v>
      </c>
      <c r="C26" s="16">
        <v>0.65</v>
      </c>
      <c r="D26" s="23">
        <f>3/16</f>
        <v>0.1875</v>
      </c>
      <c r="E26" s="23">
        <f>2/15</f>
        <v>0.13333333333333333</v>
      </c>
      <c r="F26" s="5">
        <f>2/13</f>
        <v>0.15384615384615385</v>
      </c>
      <c r="G26" s="23">
        <f t="shared" si="2"/>
        <v>0.15822649572649572</v>
      </c>
      <c r="H26" s="3">
        <f t="shared" si="3"/>
        <v>1.5789210352705647E-2</v>
      </c>
    </row>
    <row r="27" spans="1:8" x14ac:dyDescent="0.25">
      <c r="A27" s="38" t="s">
        <v>25</v>
      </c>
      <c r="B27" s="36" t="s">
        <v>13</v>
      </c>
      <c r="C27" s="2" t="s">
        <v>15</v>
      </c>
      <c r="D27" s="23">
        <f>7/17</f>
        <v>0.41176470588235292</v>
      </c>
      <c r="E27" s="23">
        <f>6/13</f>
        <v>0.46153846153846156</v>
      </c>
      <c r="F27" s="5">
        <f>11/21</f>
        <v>0.52380952380952384</v>
      </c>
      <c r="G27" s="23">
        <f t="shared" si="2"/>
        <v>0.46570423041011272</v>
      </c>
      <c r="H27" s="3">
        <f t="shared" si="3"/>
        <v>3.241154901575586E-2</v>
      </c>
    </row>
    <row r="28" spans="1:8" x14ac:dyDescent="0.25">
      <c r="A28" s="38" t="s">
        <v>25</v>
      </c>
      <c r="B28" s="15" t="s">
        <v>19</v>
      </c>
      <c r="C28" s="6">
        <v>0</v>
      </c>
      <c r="D28" s="7">
        <v>0</v>
      </c>
      <c r="E28" s="7">
        <v>0</v>
      </c>
      <c r="F28" s="8">
        <v>0</v>
      </c>
      <c r="G28" s="7">
        <f t="shared" si="2"/>
        <v>0</v>
      </c>
      <c r="H28" s="12">
        <f t="shared" si="3"/>
        <v>0</v>
      </c>
    </row>
  </sheetData>
  <mergeCells count="10">
    <mergeCell ref="G3:G4"/>
    <mergeCell ref="B3:B4"/>
    <mergeCell ref="H3:H4"/>
    <mergeCell ref="A20:A21"/>
    <mergeCell ref="B20:B21"/>
    <mergeCell ref="G20:G21"/>
    <mergeCell ref="H20:H21"/>
    <mergeCell ref="C3:F3"/>
    <mergeCell ref="C20:F20"/>
    <mergeCell ref="A3:A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tujona</vt:lpstr>
      <vt:lpstr>carvona</vt:lpstr>
      <vt:lpstr>MEXCLA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2024-11-28T17:14:14Z</dcterms:created>
  <dcterms:modified xsi:type="dcterms:W3CDTF">2024-12-04T15:18:57Z</dcterms:modified>
</cp:coreProperties>
</file>