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i unidad\Articulos\2025 Deposicion de Nutrientes\"/>
    </mc:Choice>
  </mc:AlternateContent>
  <xr:revisionPtr revIDLastSave="0" documentId="13_ncr:1_{5FCECE42-3137-43C8-A1DD-8A52063753FF}" xr6:coauthVersionLast="47" xr6:coauthVersionMax="47" xr10:uidLastSave="{00000000-0000-0000-0000-000000000000}"/>
  <bookViews>
    <workbookView xWindow="-108" yWindow="-108" windowWidth="23256" windowHeight="12456" tabRatio="802" activeTab="2" xr2:uid="{00000000-000D-0000-FFFF-FFFF00000000}"/>
  </bookViews>
  <sheets>
    <sheet name="Original data" sheetId="3" r:id="rId1"/>
    <sheet name="Ref" sheetId="2" r:id="rId2"/>
    <sheet name="Transformed data" sheetId="4" r:id="rId3"/>
    <sheet name="Forms" sheetId="1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G11" i="3" l="1"/>
  <c r="D21" i="4" l="1"/>
  <c r="D16" i="4"/>
  <c r="I9" i="3" l="1"/>
  <c r="G10" i="3"/>
  <c r="G9" i="3"/>
  <c r="G8" i="3"/>
  <c r="P20" i="3" l="1"/>
  <c r="N20" i="3"/>
  <c r="M20" i="3"/>
  <c r="L20" i="3"/>
  <c r="K20" i="3"/>
  <c r="I20" i="3"/>
  <c r="J20" i="3"/>
  <c r="G20" i="3"/>
  <c r="I19" i="3"/>
  <c r="I12" i="3"/>
  <c r="I11" i="3"/>
  <c r="I10" i="3"/>
  <c r="I8" i="3"/>
  <c r="N5" i="3"/>
  <c r="I5" i="3"/>
  <c r="I4" i="3"/>
  <c r="I23" i="4" l="1"/>
  <c r="P23" i="4"/>
  <c r="J22" i="4"/>
  <c r="O23" i="4"/>
  <c r="Q23" i="4"/>
  <c r="R23" i="4"/>
  <c r="K23" i="4"/>
  <c r="N23" i="4"/>
  <c r="L23" i="4"/>
  <c r="M23" i="4"/>
  <c r="K22" i="4"/>
  <c r="N22" i="4"/>
  <c r="O22" i="4"/>
  <c r="Q22" i="4"/>
  <c r="P22" i="4"/>
  <c r="L22" i="4"/>
  <c r="R22" i="4"/>
  <c r="M22" i="4" l="1"/>
  <c r="I22" i="4"/>
</calcChain>
</file>

<file path=xl/sharedStrings.xml><?xml version="1.0" encoding="utf-8"?>
<sst xmlns="http://schemas.openxmlformats.org/spreadsheetml/2006/main" count="204" uniqueCount="100">
  <si>
    <t>N</t>
  </si>
  <si>
    <t>P</t>
  </si>
  <si>
    <t>K</t>
  </si>
  <si>
    <t>S</t>
  </si>
  <si>
    <t>Ca</t>
  </si>
  <si>
    <t>Mg</t>
  </si>
  <si>
    <t>Cu</t>
  </si>
  <si>
    <t>Zn</t>
  </si>
  <si>
    <t>Na</t>
  </si>
  <si>
    <t>Gomez et al 2009</t>
  </si>
  <si>
    <t>Cnel Moldes</t>
  </si>
  <si>
    <t>2006-2007</t>
  </si>
  <si>
    <t>mg/l</t>
  </si>
  <si>
    <t>Lopez et al 2015</t>
  </si>
  <si>
    <t>Cordoba</t>
  </si>
  <si>
    <t>2009-2012</t>
  </si>
  <si>
    <t>Romero Orue 2017</t>
  </si>
  <si>
    <t>Salta</t>
  </si>
  <si>
    <t>Carnelos</t>
  </si>
  <si>
    <t>Pergamino</t>
  </si>
  <si>
    <t>2007-2012</t>
  </si>
  <si>
    <t>kg/ha</t>
  </si>
  <si>
    <t>Torquinst</t>
  </si>
  <si>
    <t>Average</t>
  </si>
  <si>
    <t>1992-1994</t>
  </si>
  <si>
    <t>Gaiero 1998</t>
  </si>
  <si>
    <t xml:space="preserve">Gaiero, D. M., 1998a. Hidrogeoquímica de un sistema de la región semiárida: El río Suquía, Córdoba. 1. Fuentes de iones mayoritarios. Revista de la Asociación Geológica Argentina, 53 (2): 167-186. </t>
  </si>
  <si>
    <t>Bonorino 1994</t>
  </si>
  <si>
    <t>Bonorino 1994. Geohidroquimica de la lluvia en la region del suroeste bonaerense. Revista de la Asoc Geologica Argentina 49:93-98</t>
  </si>
  <si>
    <t>Bonorino 1991 . Evaluacion de la regarga de agua subterranea en el area de la vertiente occidental de las sierras australes, provoncia de Buenos Aires. Asoc Geologica Agentina. XLVI: 93-102</t>
  </si>
  <si>
    <t xml:space="preserve">Gomez et al 2009. Caracterización hidrogeoquímica e identificación de procesos de mezcla en un acuífero afectado por un vertedero municipal no controladoBoletín de la Sociedad Geológica Mexicana. Volumen 61, núm. 3, 2009, p. 437-450
</t>
  </si>
  <si>
    <t>Carnelos et al 2014</t>
  </si>
  <si>
    <t>Carnelos et al 2014. Variación espacial y temporal de las
deposiciones atmosféricas en Argentina y
Uruguay</t>
  </si>
  <si>
    <t>Cl</t>
  </si>
  <si>
    <t>2009-2010</t>
  </si>
  <si>
    <t>x</t>
  </si>
  <si>
    <t>2010-2011</t>
  </si>
  <si>
    <t>2011-2012</t>
  </si>
  <si>
    <t>Buenos Aires</t>
  </si>
  <si>
    <t>Montevideo</t>
  </si>
  <si>
    <t>Rocha</t>
  </si>
  <si>
    <t>Bonorino 1991</t>
  </si>
  <si>
    <t>Bahia Blanca</t>
  </si>
  <si>
    <t>Loma el Zorro</t>
  </si>
  <si>
    <t>Estaciones Serranas</t>
  </si>
  <si>
    <t>La Masalle</t>
  </si>
  <si>
    <t>Chasico</t>
  </si>
  <si>
    <t>Lavado 1983</t>
  </si>
  <si>
    <t>Korn</t>
  </si>
  <si>
    <t>Gaiero</t>
  </si>
  <si>
    <t>MAT</t>
  </si>
  <si>
    <t>Distance to sea</t>
  </si>
  <si>
    <t>Reference</t>
  </si>
  <si>
    <t>Site</t>
  </si>
  <si>
    <t>Sampling years</t>
  </si>
  <si>
    <t>(mm)</t>
  </si>
  <si>
    <t>(km)</t>
  </si>
  <si>
    <t>Rafaela</t>
  </si>
  <si>
    <t>1972-1979</t>
  </si>
  <si>
    <t>Romero Orue et al. 2017</t>
  </si>
  <si>
    <t>Hein et al. 1981</t>
  </si>
  <si>
    <t>Lopez et al. 2015</t>
  </si>
  <si>
    <t>Gomez et al. 2009</t>
  </si>
  <si>
    <t>Carnelos et al. 2019</t>
  </si>
  <si>
    <t>Duration of study</t>
  </si>
  <si>
    <t>(months)</t>
  </si>
  <si>
    <r>
      <t>Deposition (kg ha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y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 xml:space="preserve"> )</t>
    </r>
  </si>
  <si>
    <t>MAP</t>
  </si>
  <si>
    <t>Distance</t>
  </si>
  <si>
    <r>
      <t>(</t>
    </r>
    <r>
      <rPr>
        <sz val="11"/>
        <color theme="1"/>
        <rFont val="Calibri"/>
        <family val="2"/>
      </rPr>
      <t>°C)</t>
    </r>
  </si>
  <si>
    <t>Lopez et al 2015. Rainwater analysis by synchrotron radiation-total reflection X-ray fluorescence. Spectrochimica Acta Part B 113 (2015) 100–105</t>
  </si>
  <si>
    <t>Romero Orue et al 2017. Precipitaciones húmedas en el norte de Argentina: caracterización química de los componentes solubles en el Valle de Lerma, Salta. Andean Geology 44 (1): 59-78. January, 2017</t>
  </si>
  <si>
    <t>Na+</t>
  </si>
  <si>
    <t>Ca2+</t>
  </si>
  <si>
    <t>Nutrient</t>
  </si>
  <si>
    <t>Rain</t>
  </si>
  <si>
    <t>SO4-2</t>
  </si>
  <si>
    <t>Cl-</t>
  </si>
  <si>
    <t>Soluble</t>
  </si>
  <si>
    <t>NO3-</t>
  </si>
  <si>
    <t>iones</t>
  </si>
  <si>
    <t>NH4+</t>
  </si>
  <si>
    <t>NO2, HNO3, NH3 (1)</t>
  </si>
  <si>
    <t>PO4 3-</t>
  </si>
  <si>
    <t>SO4 2-</t>
  </si>
  <si>
    <t xml:space="preserve">K+ </t>
  </si>
  <si>
    <t xml:space="preserve">Mg2+ </t>
  </si>
  <si>
    <t xml:space="preserve">Cl- </t>
  </si>
  <si>
    <t xml:space="preserve">Na+ </t>
  </si>
  <si>
    <t>Insoluble</t>
  </si>
  <si>
    <t>15% - 50%</t>
  </si>
  <si>
    <t>50% 85%</t>
  </si>
  <si>
    <t>https://www.sciencedirect.com/science/article/pii/S0079661199000245?casa_token=uHf_bgbg4z0AAAAA:OjkafLZCzcDZMfabtqa6UINb6DiUPoBNmvFjZ35rt3kz6rZjQSm2BjF-zZfTBeIw-t7Haxjv</t>
  </si>
  <si>
    <t>https://www.sciencedirect.com/science/article/pii/S1352231000004842?casa_token=A-aMe-JpVBwAAAAA:S6S30LQA4dpoJUr-VGHdierUw_PZF6u6OMP0rT5v6njDotu6Ldpx2uuYSZCtAhwAxYCAuAQN</t>
  </si>
  <si>
    <t>Source</t>
  </si>
  <si>
    <t>Rainfall</t>
  </si>
  <si>
    <t>Rainfall &amp; dust</t>
  </si>
  <si>
    <t>Chemical form</t>
  </si>
  <si>
    <t>Units</t>
  </si>
  <si>
    <t xml:space="preserve"> Lavado, RS (1983) Evaluación de la relación entre composición química del agua de lluvia y el grado de salinidad y sodicidad de distintos suelos. Revista Facultad de Agronomía 4, 135-139.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</si>
</sst>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 readingOrder="1"/>
    </xf>
    <xf numFmtId="1" fontId="0" fillId="0" borderId="0" xfId="0" applyNumberFormat="1"/>
    <xf numFmtId="0" fontId="0" fillId="0" borderId="0" xfId="1" applyNumberFormat="1" applyFont="1" applyBorder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5" fillId="0" borderId="0" xfId="0" applyFont="1"/>
    <xf numFmtId="1" fontId="0" fillId="0" borderId="0" xfId="1" applyNumberFormat="1" applyFont="1" applyBorder="1"/>
    <xf numFmtId="0" fontId="6" fillId="0" borderId="0" xfId="2"/>
    <xf numFmtId="0" fontId="0" fillId="0" borderId="3" xfId="0" applyBorder="1"/>
    <xf numFmtId="1" fontId="0" fillId="2" borderId="2" xfId="0" applyNumberFormat="1" applyFill="1" applyBorder="1"/>
    <xf numFmtId="1" fontId="0" fillId="2" borderId="0" xfId="0" applyNumberFormat="1" applyFill="1"/>
    <xf numFmtId="0" fontId="0" fillId="2" borderId="3" xfId="0" applyFill="1" applyBorder="1"/>
    <xf numFmtId="1" fontId="0" fillId="2" borderId="3" xfId="0" applyNumberFormat="1" applyFill="1" applyBorder="1"/>
    <xf numFmtId="165" fontId="0" fillId="2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/>
    <xf numFmtId="165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2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1" fontId="0" fillId="2" borderId="4" xfId="0" applyNumberFormat="1" applyFill="1" applyBorder="1"/>
    <xf numFmtId="165" fontId="0" fillId="2" borderId="4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2" borderId="0" xfId="0" applyNumberFormat="1" applyFont="1" applyFill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y%20Drive/Proyecto%20Rotaciones%20Lecher&#237;a/Balance%20de%20nutrientes/Balance%20de%20nutrientes%20v1.xlsx" TargetMode="External"/><Relationship Id="rId1" Type="http://schemas.openxmlformats.org/officeDocument/2006/relationships/externalLinkPath" Target="/My%20Drive/Proyecto%20Rotaciones%20Lecher&#237;a/Balance%20de%20nutrientes/Balance%20de%20nutrientes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orrajes"/>
      <sheetName val="Alimentos"/>
      <sheetName val="Eficiencias"/>
      <sheetName val="Fertilizantes"/>
      <sheetName val="Atmosph"/>
      <sheetName val="Drenaje"/>
      <sheetName val="Leche"/>
      <sheetName val="Sim"/>
      <sheetName val="Zonas y Rot"/>
      <sheetName val="Sheet1"/>
    </sheetNames>
    <sheetDataSet>
      <sheetData sheetId="0"/>
      <sheetData sheetId="1"/>
      <sheetData sheetId="2"/>
      <sheetData sheetId="3"/>
      <sheetData sheetId="4">
        <row r="41">
          <cell r="F41">
            <v>1210</v>
          </cell>
          <cell r="O41">
            <v>103.009</v>
          </cell>
          <cell r="P41">
            <v>96.543999999999997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iencedirect.com/science/article/pii/S1352231000004842?casa_token=A-aMe-JpVBwAAAAA:S6S30LQA4dpoJUr-VGHdierUw_PZF6u6OMP0rT5v6njDotu6Ldpx2uuYSZCtAhwAxYCAuAQN" TargetMode="External"/><Relationship Id="rId1" Type="http://schemas.openxmlformats.org/officeDocument/2006/relationships/hyperlink" Target="https://www.sciencedirect.com/science/article/pii/S0079661199000245?casa_token=uHf_bgbg4z0AAAAA:OjkafLZCzcDZMfabtqa6UINb6DiUPoBNmvFjZ35rt3kz6rZjQSm2BjF-zZfTBeIw-t7Haxj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zoomScaleNormal="100" workbookViewId="0">
      <selection activeCell="G2" sqref="G2:P2"/>
    </sheetView>
  </sheetViews>
  <sheetFormatPr baseColWidth="10" defaultColWidth="9.109375" defaultRowHeight="14.4" x14ac:dyDescent="0.3"/>
  <cols>
    <col min="1" max="1" width="17.5546875" bestFit="1" customWidth="1"/>
    <col min="2" max="2" width="12" bestFit="1" customWidth="1"/>
    <col min="3" max="5" width="12" customWidth="1"/>
    <col min="6" max="6" width="15.88671875" bestFit="1" customWidth="1"/>
  </cols>
  <sheetData>
    <row r="1" spans="1:17" x14ac:dyDescent="0.3">
      <c r="A1" s="1"/>
      <c r="E1" t="s">
        <v>95</v>
      </c>
      <c r="F1" t="s">
        <v>51</v>
      </c>
    </row>
    <row r="2" spans="1:17" x14ac:dyDescent="0.3">
      <c r="A2" s="8" t="s">
        <v>52</v>
      </c>
      <c r="B2" t="s">
        <v>53</v>
      </c>
      <c r="C2" t="s">
        <v>54</v>
      </c>
      <c r="E2" t="s">
        <v>55</v>
      </c>
      <c r="F2" t="s">
        <v>56</v>
      </c>
      <c r="G2" s="2" t="s">
        <v>0</v>
      </c>
      <c r="H2" s="2" t="s">
        <v>1</v>
      </c>
      <c r="I2" s="2" t="s">
        <v>3</v>
      </c>
      <c r="J2" s="2" t="s">
        <v>2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33</v>
      </c>
      <c r="P2" s="2" t="s">
        <v>8</v>
      </c>
      <c r="Q2" s="2" t="s">
        <v>98</v>
      </c>
    </row>
    <row r="4" spans="1:17" x14ac:dyDescent="0.3">
      <c r="A4" t="s">
        <v>9</v>
      </c>
      <c r="B4" s="3" t="s">
        <v>10</v>
      </c>
      <c r="C4" s="3" t="s">
        <v>11</v>
      </c>
      <c r="D4" s="3"/>
      <c r="E4" s="3">
        <v>813</v>
      </c>
      <c r="F4" s="3">
        <v>1200</v>
      </c>
      <c r="G4" s="3"/>
      <c r="H4" s="4"/>
      <c r="I4" s="4">
        <f>0.0822*32</f>
        <v>2.6303999999999998</v>
      </c>
      <c r="J4">
        <v>0.69799999999999995</v>
      </c>
      <c r="K4">
        <v>2.3959999999999999</v>
      </c>
      <c r="L4" s="4">
        <v>1.9247000000000001</v>
      </c>
      <c r="O4">
        <v>2.89</v>
      </c>
      <c r="P4">
        <v>0.6</v>
      </c>
      <c r="Q4" t="s">
        <v>12</v>
      </c>
    </row>
    <row r="5" spans="1:17" x14ac:dyDescent="0.3">
      <c r="A5" t="s">
        <v>13</v>
      </c>
      <c r="B5" s="3" t="s">
        <v>14</v>
      </c>
      <c r="C5" s="3" t="s">
        <v>34</v>
      </c>
      <c r="D5" s="3" t="s">
        <v>35</v>
      </c>
      <c r="E5" s="3">
        <v>873</v>
      </c>
      <c r="F5" s="3">
        <v>1130</v>
      </c>
      <c r="G5" s="5"/>
      <c r="H5" s="4"/>
      <c r="I5" s="10">
        <f>+AVERAGE(965,1063,722)/1000</f>
        <v>0.91666666666666663</v>
      </c>
      <c r="J5" s="4">
        <v>0.80600000000000005</v>
      </c>
      <c r="K5" s="10">
        <v>3.85</v>
      </c>
      <c r="L5" s="4"/>
      <c r="M5" s="6">
        <v>2.5000000000000001E-3</v>
      </c>
      <c r="N5" s="6">
        <f>0.00279</f>
        <v>2.7899999999999999E-3</v>
      </c>
      <c r="O5" s="6"/>
      <c r="Q5" t="s">
        <v>12</v>
      </c>
    </row>
    <row r="6" spans="1:17" x14ac:dyDescent="0.3">
      <c r="C6" t="s">
        <v>36</v>
      </c>
      <c r="E6">
        <v>903</v>
      </c>
      <c r="F6" s="3">
        <v>1130</v>
      </c>
      <c r="I6">
        <v>1.0629999999999999</v>
      </c>
      <c r="J6">
        <v>0.625</v>
      </c>
      <c r="K6">
        <v>3.508</v>
      </c>
      <c r="M6">
        <v>3.8999999999999998E-3</v>
      </c>
      <c r="N6">
        <v>4.3600000000000002E-3</v>
      </c>
      <c r="Q6" t="s">
        <v>12</v>
      </c>
    </row>
    <row r="7" spans="1:17" x14ac:dyDescent="0.3">
      <c r="C7" t="s">
        <v>37</v>
      </c>
      <c r="E7">
        <v>657</v>
      </c>
      <c r="F7" s="3">
        <v>1130</v>
      </c>
      <c r="I7">
        <v>0.72199999999999998</v>
      </c>
      <c r="J7">
        <v>0.64800000000000002</v>
      </c>
      <c r="K7">
        <v>2.87</v>
      </c>
      <c r="M7">
        <v>5.1700000000000001E-3</v>
      </c>
      <c r="N7">
        <v>4.2700000000000004E-3</v>
      </c>
      <c r="Q7" t="s">
        <v>12</v>
      </c>
    </row>
    <row r="8" spans="1:17" x14ac:dyDescent="0.3">
      <c r="A8" t="s">
        <v>18</v>
      </c>
      <c r="B8" s="3" t="s">
        <v>19</v>
      </c>
      <c r="C8" s="3" t="s">
        <v>20</v>
      </c>
      <c r="D8" s="3"/>
      <c r="E8" s="3">
        <v>995</v>
      </c>
      <c r="F8" s="3">
        <v>820</v>
      </c>
      <c r="G8" s="5">
        <f>0.226*2.9+6.1*0.77</f>
        <v>5.3524000000000003</v>
      </c>
      <c r="H8" s="3"/>
      <c r="I8" s="5">
        <f>7.2*0.333</f>
        <v>2.3976000000000002</v>
      </c>
      <c r="J8" s="5">
        <v>3.1</v>
      </c>
      <c r="K8" s="5">
        <v>3.3</v>
      </c>
      <c r="L8" s="5">
        <v>0.6</v>
      </c>
      <c r="O8">
        <v>5.7</v>
      </c>
      <c r="P8">
        <v>12.3</v>
      </c>
      <c r="Q8" t="s">
        <v>21</v>
      </c>
    </row>
    <row r="9" spans="1:17" x14ac:dyDescent="0.3">
      <c r="B9" s="3" t="s">
        <v>38</v>
      </c>
      <c r="C9" s="3" t="s">
        <v>20</v>
      </c>
      <c r="D9" s="3"/>
      <c r="E9" s="3">
        <v>1015.8333333333334</v>
      </c>
      <c r="F9" s="3">
        <v>600</v>
      </c>
      <c r="G9" s="5">
        <f>12.3*0.77+2.4*0.226</f>
        <v>10.013400000000001</v>
      </c>
      <c r="H9" s="3"/>
      <c r="I9" s="5">
        <f>13.7*0.333</f>
        <v>4.5621</v>
      </c>
      <c r="J9" s="5">
        <v>5.8</v>
      </c>
      <c r="K9" s="5">
        <v>8.6</v>
      </c>
      <c r="L9" s="5">
        <v>1</v>
      </c>
      <c r="O9">
        <v>8.6999999999999993</v>
      </c>
      <c r="P9">
        <v>14.6</v>
      </c>
      <c r="Q9" t="s">
        <v>21</v>
      </c>
    </row>
    <row r="10" spans="1:17" x14ac:dyDescent="0.3">
      <c r="B10" s="3" t="s">
        <v>39</v>
      </c>
      <c r="C10" s="3" t="s">
        <v>20</v>
      </c>
      <c r="D10" s="3"/>
      <c r="E10" s="3">
        <v>968.33333333333337</v>
      </c>
      <c r="F10" s="3">
        <v>400</v>
      </c>
      <c r="G10" s="5">
        <f>6.3*0.77+1.8*0.226</f>
        <v>5.2577999999999996</v>
      </c>
      <c r="H10" s="3"/>
      <c r="I10" s="5">
        <f>14*0.333</f>
        <v>4.6619999999999999</v>
      </c>
      <c r="J10" s="5">
        <v>4.5</v>
      </c>
      <c r="K10" s="5">
        <v>6.4</v>
      </c>
      <c r="L10" s="5">
        <v>2.1</v>
      </c>
      <c r="O10">
        <v>27.8</v>
      </c>
      <c r="P10">
        <v>21.8</v>
      </c>
      <c r="Q10" t="s">
        <v>21</v>
      </c>
    </row>
    <row r="11" spans="1:17" x14ac:dyDescent="0.3">
      <c r="B11" s="3" t="s">
        <v>40</v>
      </c>
      <c r="C11" s="3" t="s">
        <v>20</v>
      </c>
      <c r="D11" s="3"/>
      <c r="E11" s="3">
        <v>1120.6666666666667</v>
      </c>
      <c r="F11" s="3">
        <v>80</v>
      </c>
      <c r="G11" s="5">
        <f>4.7*0.77+1.8*0.226</f>
        <v>4.0258000000000003</v>
      </c>
      <c r="H11" s="3"/>
      <c r="I11" s="5">
        <f>15.9*0.333</f>
        <v>5.2947000000000006</v>
      </c>
      <c r="J11" s="5">
        <v>4.2</v>
      </c>
      <c r="K11" s="5">
        <v>7.5</v>
      </c>
      <c r="L11" s="5">
        <v>4.0999999999999996</v>
      </c>
      <c r="O11">
        <v>80.599999999999994</v>
      </c>
      <c r="P11">
        <v>46.1</v>
      </c>
      <c r="Q11" t="s">
        <v>21</v>
      </c>
    </row>
    <row r="12" spans="1:17" x14ac:dyDescent="0.3">
      <c r="A12" t="s">
        <v>41</v>
      </c>
      <c r="B12" s="3" t="s">
        <v>22</v>
      </c>
      <c r="C12" s="3"/>
      <c r="D12" s="3"/>
      <c r="E12" s="3">
        <v>590</v>
      </c>
      <c r="F12" s="3">
        <v>1150</v>
      </c>
      <c r="I12" s="5">
        <f>7.9*0.3333</f>
        <v>2.63307</v>
      </c>
      <c r="J12">
        <v>3.8</v>
      </c>
      <c r="K12">
        <v>2.2599999999999998</v>
      </c>
      <c r="L12">
        <v>1.38</v>
      </c>
      <c r="O12">
        <v>5.24</v>
      </c>
      <c r="P12">
        <v>1.67</v>
      </c>
      <c r="Q12" t="s">
        <v>12</v>
      </c>
    </row>
    <row r="13" spans="1:17" x14ac:dyDescent="0.3">
      <c r="A13" t="s">
        <v>27</v>
      </c>
      <c r="B13" s="3" t="s">
        <v>42</v>
      </c>
      <c r="C13" s="3"/>
      <c r="D13" s="3"/>
      <c r="E13" s="3">
        <v>510</v>
      </c>
      <c r="F13" s="3">
        <v>1210</v>
      </c>
      <c r="I13" s="5">
        <v>2.6</v>
      </c>
      <c r="J13" s="5">
        <v>1.48</v>
      </c>
      <c r="K13" s="5">
        <v>3.7</v>
      </c>
      <c r="L13" s="5">
        <v>1.93</v>
      </c>
      <c r="O13" s="5">
        <v>5.8</v>
      </c>
      <c r="P13" s="5">
        <v>3.51</v>
      </c>
      <c r="Q13" t="s">
        <v>12</v>
      </c>
    </row>
    <row r="14" spans="1:17" x14ac:dyDescent="0.3">
      <c r="B14" s="3" t="s">
        <v>43</v>
      </c>
      <c r="C14" s="3"/>
      <c r="D14" s="3"/>
      <c r="E14" s="3">
        <v>565</v>
      </c>
      <c r="F14" s="3">
        <v>1150</v>
      </c>
      <c r="I14" s="5">
        <v>2.09</v>
      </c>
      <c r="J14" s="5">
        <v>1.72</v>
      </c>
      <c r="K14" s="5">
        <v>1.44</v>
      </c>
      <c r="L14" s="5">
        <v>0.93</v>
      </c>
      <c r="O14" s="5">
        <v>3.36</v>
      </c>
      <c r="P14" s="5">
        <v>1.0580000000000001</v>
      </c>
      <c r="Q14" t="s">
        <v>12</v>
      </c>
    </row>
    <row r="15" spans="1:17" x14ac:dyDescent="0.3">
      <c r="B15" s="3" t="s">
        <v>44</v>
      </c>
      <c r="C15" s="3"/>
      <c r="D15" s="3"/>
      <c r="E15" s="3">
        <v>603</v>
      </c>
      <c r="F15" s="3">
        <v>1150</v>
      </c>
      <c r="I15" s="5">
        <v>1.45</v>
      </c>
      <c r="J15" s="5">
        <v>1.48</v>
      </c>
      <c r="K15" s="5">
        <v>1.84</v>
      </c>
      <c r="L15" s="5">
        <v>1.6</v>
      </c>
      <c r="O15" s="5">
        <v>1.38</v>
      </c>
      <c r="P15" s="5">
        <v>0.89700000000000002</v>
      </c>
      <c r="Q15" t="s">
        <v>12</v>
      </c>
    </row>
    <row r="16" spans="1:17" x14ac:dyDescent="0.3">
      <c r="B16" s="3" t="s">
        <v>45</v>
      </c>
      <c r="C16" s="3"/>
      <c r="D16" s="3"/>
      <c r="E16" s="3">
        <v>413</v>
      </c>
      <c r="F16" s="3">
        <v>1100</v>
      </c>
      <c r="I16" s="5">
        <v>2.2999999999999998</v>
      </c>
      <c r="J16" s="5">
        <v>3.08</v>
      </c>
      <c r="K16" s="5">
        <v>10.98</v>
      </c>
      <c r="L16" s="5">
        <v>2.97</v>
      </c>
      <c r="O16" s="5">
        <v>6.26</v>
      </c>
      <c r="P16" s="5">
        <v>3.74</v>
      </c>
      <c r="Q16" t="s">
        <v>12</v>
      </c>
    </row>
    <row r="17" spans="1:17" x14ac:dyDescent="0.3">
      <c r="B17" s="3" t="s">
        <v>46</v>
      </c>
      <c r="C17" s="3"/>
      <c r="D17" s="3"/>
      <c r="E17" s="3">
        <v>431</v>
      </c>
      <c r="F17" s="3">
        <v>1210</v>
      </c>
      <c r="I17" s="5">
        <v>4.05</v>
      </c>
      <c r="J17" s="5">
        <v>2.0699999999999998</v>
      </c>
      <c r="K17" s="5">
        <v>7.96</v>
      </c>
      <c r="L17" s="5">
        <v>3.59</v>
      </c>
      <c r="O17" s="5">
        <v>23.9</v>
      </c>
      <c r="P17" s="5">
        <v>22.4</v>
      </c>
      <c r="Q17" t="s">
        <v>12</v>
      </c>
    </row>
    <row r="18" spans="1:17" x14ac:dyDescent="0.3">
      <c r="A18" t="s">
        <v>47</v>
      </c>
      <c r="B18" s="3" t="s">
        <v>48</v>
      </c>
      <c r="C18" s="3">
        <v>1982</v>
      </c>
      <c r="D18" s="3"/>
      <c r="E18" s="3">
        <v>1082</v>
      </c>
      <c r="F18" s="3">
        <v>650</v>
      </c>
      <c r="I18" s="5"/>
      <c r="J18" s="5">
        <v>1.17</v>
      </c>
      <c r="K18" s="5">
        <v>4</v>
      </c>
      <c r="L18" s="5">
        <v>1.58</v>
      </c>
      <c r="O18" s="5">
        <v>5.32</v>
      </c>
      <c r="P18" s="5">
        <v>3.22</v>
      </c>
      <c r="Q18" t="s">
        <v>12</v>
      </c>
    </row>
    <row r="19" spans="1:17" x14ac:dyDescent="0.3">
      <c r="A19" t="s">
        <v>49</v>
      </c>
      <c r="B19" s="7" t="s">
        <v>14</v>
      </c>
      <c r="C19" s="7" t="s">
        <v>24</v>
      </c>
      <c r="D19" s="7"/>
      <c r="E19" s="3">
        <v>946</v>
      </c>
      <c r="F19" s="3">
        <v>1130</v>
      </c>
      <c r="G19" s="7"/>
      <c r="H19" s="7"/>
      <c r="I19" s="7">
        <f>1.27*0.333</f>
        <v>0.42291000000000001</v>
      </c>
      <c r="J19" s="7">
        <v>0.28000000000000003</v>
      </c>
      <c r="K19" s="7">
        <v>1.17</v>
      </c>
      <c r="L19" s="7">
        <v>0.33</v>
      </c>
      <c r="O19" s="5">
        <v>0.92</v>
      </c>
      <c r="P19">
        <v>0.36</v>
      </c>
      <c r="Q19" t="s">
        <v>12</v>
      </c>
    </row>
    <row r="20" spans="1:17" x14ac:dyDescent="0.3">
      <c r="A20" t="s">
        <v>16</v>
      </c>
      <c r="B20" s="3" t="s">
        <v>17</v>
      </c>
      <c r="C20" s="3" t="s">
        <v>15</v>
      </c>
      <c r="D20" s="3" t="s">
        <v>35</v>
      </c>
      <c r="E20" s="3">
        <v>755</v>
      </c>
      <c r="F20" s="3">
        <v>1700</v>
      </c>
      <c r="G20" s="5">
        <f>23.65*14*0.226/1000</f>
        <v>7.4828599999999995E-2</v>
      </c>
      <c r="H20" s="5"/>
      <c r="I20" s="5">
        <f>21.03*32*0.333/1000</f>
        <v>0.22409568000000002</v>
      </c>
      <c r="J20" s="5">
        <f>173.5/1000</f>
        <v>0.17349999999999999</v>
      </c>
      <c r="K20" s="5">
        <f>893.2/1000</f>
        <v>0.89319999999999999</v>
      </c>
      <c r="L20" s="5">
        <f>22.2/1000</f>
        <v>2.2200000000000001E-2</v>
      </c>
      <c r="M20" s="5">
        <f>2.35/1000</f>
        <v>2.3500000000000001E-3</v>
      </c>
      <c r="N20" s="5">
        <f>10.77/1000</f>
        <v>1.077E-2</v>
      </c>
      <c r="O20" s="5">
        <v>0.87</v>
      </c>
      <c r="P20">
        <f>104.65/1000</f>
        <v>0.10465000000000001</v>
      </c>
      <c r="Q20" t="s">
        <v>12</v>
      </c>
    </row>
    <row r="21" spans="1:17" x14ac:dyDescent="0.3">
      <c r="A21" t="s">
        <v>60</v>
      </c>
      <c r="B21" s="3" t="s">
        <v>57</v>
      </c>
      <c r="C21" s="3" t="s">
        <v>58</v>
      </c>
      <c r="D21" s="3"/>
      <c r="E21" s="3">
        <f>8999.4/8</f>
        <v>1124.925</v>
      </c>
      <c r="F21" s="3">
        <v>880</v>
      </c>
      <c r="G21" s="5">
        <v>13.9</v>
      </c>
      <c r="I21" s="5"/>
      <c r="J21" s="5"/>
      <c r="K21" s="5"/>
      <c r="L21" s="5"/>
      <c r="P21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0"/>
  <sheetViews>
    <sheetView workbookViewId="0">
      <selection activeCell="A11" sqref="A11"/>
    </sheetView>
  </sheetViews>
  <sheetFormatPr baseColWidth="10" defaultColWidth="9.109375" defaultRowHeight="14.4" x14ac:dyDescent="0.3"/>
  <cols>
    <col min="1" max="1" width="17.5546875" bestFit="1" customWidth="1"/>
  </cols>
  <sheetData>
    <row r="2" spans="1:2" x14ac:dyDescent="0.3">
      <c r="A2" s="9" t="s">
        <v>52</v>
      </c>
    </row>
    <row r="3" spans="1:2" x14ac:dyDescent="0.3">
      <c r="A3" t="s">
        <v>9</v>
      </c>
      <c r="B3" t="s">
        <v>30</v>
      </c>
    </row>
    <row r="4" spans="1:2" x14ac:dyDescent="0.3">
      <c r="A4" t="s">
        <v>13</v>
      </c>
      <c r="B4" t="s">
        <v>70</v>
      </c>
    </row>
    <row r="5" spans="1:2" x14ac:dyDescent="0.3">
      <c r="A5" t="s">
        <v>16</v>
      </c>
      <c r="B5" t="s">
        <v>71</v>
      </c>
    </row>
    <row r="6" spans="1:2" x14ac:dyDescent="0.3">
      <c r="A6" t="s">
        <v>31</v>
      </c>
      <c r="B6" t="s">
        <v>32</v>
      </c>
    </row>
    <row r="7" spans="1:2" x14ac:dyDescent="0.3">
      <c r="A7" t="s">
        <v>27</v>
      </c>
      <c r="B7" t="s">
        <v>28</v>
      </c>
    </row>
    <row r="8" spans="1:2" x14ac:dyDescent="0.3">
      <c r="B8" t="s">
        <v>29</v>
      </c>
    </row>
    <row r="9" spans="1:2" x14ac:dyDescent="0.3">
      <c r="A9" t="s">
        <v>25</v>
      </c>
      <c r="B9" t="s">
        <v>26</v>
      </c>
    </row>
    <row r="10" spans="1:2" x14ac:dyDescent="0.3">
      <c r="A10" t="s">
        <v>47</v>
      </c>
      <c r="B10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23"/>
  <sheetViews>
    <sheetView tabSelected="1" workbookViewId="0">
      <selection activeCell="G13" sqref="G13"/>
    </sheetView>
  </sheetViews>
  <sheetFormatPr baseColWidth="10" defaultColWidth="9.109375" defaultRowHeight="14.4" x14ac:dyDescent="0.3"/>
  <cols>
    <col min="2" max="2" width="22.44140625" bestFit="1" customWidth="1"/>
    <col min="3" max="3" width="18.5546875" bestFit="1" customWidth="1"/>
    <col min="4" max="4" width="15.6640625" bestFit="1" customWidth="1"/>
    <col min="5" max="5" width="8.33203125" customWidth="1"/>
    <col min="6" max="6" width="5.88671875" bestFit="1" customWidth="1"/>
    <col min="7" max="8" width="16.44140625" customWidth="1"/>
    <col min="9" max="9" width="6.109375" customWidth="1"/>
    <col min="10" max="10" width="6.44140625" bestFit="1" customWidth="1"/>
    <col min="11" max="12" width="12" bestFit="1" customWidth="1"/>
    <col min="13" max="16" width="6.109375" customWidth="1"/>
    <col min="17" max="18" width="12" bestFit="1" customWidth="1"/>
  </cols>
  <sheetData>
    <row r="2" spans="2:18" ht="16.2" x14ac:dyDescent="0.3">
      <c r="B2" s="24" t="s">
        <v>52</v>
      </c>
      <c r="C2" s="24" t="s">
        <v>53</v>
      </c>
      <c r="D2" s="24" t="s">
        <v>64</v>
      </c>
      <c r="E2" s="45" t="s">
        <v>50</v>
      </c>
      <c r="F2" s="24" t="s">
        <v>67</v>
      </c>
      <c r="G2" s="45" t="s">
        <v>68</v>
      </c>
      <c r="H2" s="45"/>
      <c r="I2" s="49" t="s">
        <v>66</v>
      </c>
      <c r="J2" s="49"/>
      <c r="K2" s="49"/>
      <c r="L2" s="49"/>
      <c r="M2" s="49"/>
      <c r="N2" s="49"/>
      <c r="O2" s="49"/>
      <c r="P2" s="49"/>
      <c r="Q2" s="49"/>
      <c r="R2" s="49"/>
    </row>
    <row r="3" spans="2:18" x14ac:dyDescent="0.3">
      <c r="B3" s="23"/>
      <c r="C3" s="23"/>
      <c r="D3" s="40" t="s">
        <v>65</v>
      </c>
      <c r="E3" s="40" t="s">
        <v>69</v>
      </c>
      <c r="F3" s="40" t="s">
        <v>55</v>
      </c>
      <c r="G3" s="40" t="s">
        <v>56</v>
      </c>
      <c r="H3" s="40"/>
      <c r="I3" s="2" t="s">
        <v>0</v>
      </c>
      <c r="J3" s="2" t="s">
        <v>1</v>
      </c>
      <c r="K3" s="2" t="s">
        <v>3</v>
      </c>
      <c r="L3" s="2" t="s">
        <v>2</v>
      </c>
      <c r="M3" s="2" t="s">
        <v>4</v>
      </c>
      <c r="N3" s="2" t="s">
        <v>5</v>
      </c>
      <c r="O3" s="2" t="s">
        <v>8</v>
      </c>
      <c r="P3" s="2" t="s">
        <v>33</v>
      </c>
      <c r="Q3" s="2" t="s">
        <v>6</v>
      </c>
      <c r="R3" s="2" t="s">
        <v>7</v>
      </c>
    </row>
    <row r="4" spans="2:18" x14ac:dyDescent="0.3">
      <c r="B4" s="35" t="s">
        <v>41</v>
      </c>
      <c r="C4" s="13" t="s">
        <v>22</v>
      </c>
      <c r="D4" s="41">
        <v>12</v>
      </c>
      <c r="E4" s="41"/>
      <c r="F4" s="41">
        <v>590</v>
      </c>
      <c r="G4" s="41">
        <v>1150</v>
      </c>
      <c r="H4" s="41"/>
      <c r="I4" s="17"/>
      <c r="J4" s="17"/>
      <c r="K4" s="17">
        <v>15.535113000000001</v>
      </c>
      <c r="L4" s="17">
        <v>22.42</v>
      </c>
      <c r="M4" s="17">
        <v>13.333999999999998</v>
      </c>
      <c r="N4" s="17">
        <v>8.1419999999999995</v>
      </c>
      <c r="O4" s="17">
        <v>9.8529999999999998</v>
      </c>
      <c r="P4" s="17">
        <v>30.916</v>
      </c>
      <c r="Q4" s="18"/>
      <c r="R4" s="18"/>
    </row>
    <row r="5" spans="2:18" x14ac:dyDescent="0.3">
      <c r="B5" s="32" t="s">
        <v>27</v>
      </c>
      <c r="C5" s="14" t="s">
        <v>42</v>
      </c>
      <c r="D5" s="42">
        <v>24</v>
      </c>
      <c r="E5" s="42"/>
      <c r="F5" s="42">
        <v>510</v>
      </c>
      <c r="G5" s="42">
        <v>1210</v>
      </c>
      <c r="H5" s="42"/>
      <c r="I5" s="19"/>
      <c r="J5" s="19"/>
      <c r="K5" s="19">
        <v>13.26</v>
      </c>
      <c r="L5" s="19">
        <v>7.5479999999999992</v>
      </c>
      <c r="M5" s="19">
        <v>18.87</v>
      </c>
      <c r="N5" s="19">
        <v>9.843</v>
      </c>
      <c r="O5" s="19">
        <v>17.901</v>
      </c>
      <c r="P5" s="19">
        <v>29.58</v>
      </c>
      <c r="Q5" s="20"/>
      <c r="R5" s="20"/>
    </row>
    <row r="6" spans="2:18" x14ac:dyDescent="0.3">
      <c r="B6" s="33" t="s">
        <v>27</v>
      </c>
      <c r="C6" s="14" t="s">
        <v>43</v>
      </c>
      <c r="D6" s="42">
        <v>27</v>
      </c>
      <c r="E6" s="42"/>
      <c r="F6" s="42">
        <v>565</v>
      </c>
      <c r="G6" s="42">
        <v>1150</v>
      </c>
      <c r="H6" s="42"/>
      <c r="I6" s="19"/>
      <c r="J6" s="19"/>
      <c r="K6" s="19">
        <v>11.808499999999999</v>
      </c>
      <c r="L6" s="19">
        <v>9.718</v>
      </c>
      <c r="M6" s="19">
        <v>8.136000000000001</v>
      </c>
      <c r="N6" s="19">
        <v>5.2545000000000002</v>
      </c>
      <c r="O6" s="19">
        <v>5.9776999999999996</v>
      </c>
      <c r="P6" s="19">
        <v>18.983999999999998</v>
      </c>
      <c r="Q6" s="20"/>
      <c r="R6" s="20"/>
    </row>
    <row r="7" spans="2:18" x14ac:dyDescent="0.3">
      <c r="B7" s="33" t="s">
        <v>27</v>
      </c>
      <c r="C7" s="14" t="s">
        <v>44</v>
      </c>
      <c r="D7" s="42">
        <v>9</v>
      </c>
      <c r="E7" s="42"/>
      <c r="F7" s="42">
        <v>603</v>
      </c>
      <c r="G7" s="42">
        <v>1150</v>
      </c>
      <c r="H7" s="42"/>
      <c r="I7" s="19"/>
      <c r="J7" s="19"/>
      <c r="K7" s="19">
        <v>8.7435000000000009</v>
      </c>
      <c r="L7" s="19">
        <v>8.9243999999999986</v>
      </c>
      <c r="M7" s="19">
        <v>11.0952</v>
      </c>
      <c r="N7" s="19">
        <v>9.6480000000000015</v>
      </c>
      <c r="O7" s="19">
        <v>5.4089099999999997</v>
      </c>
      <c r="P7" s="19">
        <v>8.3214000000000006</v>
      </c>
      <c r="Q7" s="20"/>
      <c r="R7" s="20"/>
    </row>
    <row r="8" spans="2:18" x14ac:dyDescent="0.3">
      <c r="B8" s="33" t="s">
        <v>27</v>
      </c>
      <c r="C8" s="14" t="s">
        <v>45</v>
      </c>
      <c r="D8" s="42">
        <v>17</v>
      </c>
      <c r="E8" s="42"/>
      <c r="F8" s="42">
        <v>413</v>
      </c>
      <c r="G8" s="42">
        <v>1100</v>
      </c>
      <c r="H8" s="42"/>
      <c r="I8" s="19"/>
      <c r="J8" s="19"/>
      <c r="K8" s="19">
        <v>9.4990000000000006</v>
      </c>
      <c r="L8" s="19">
        <v>12.7204</v>
      </c>
      <c r="M8" s="19">
        <v>45.3474</v>
      </c>
      <c r="N8" s="19">
        <v>12.266100000000002</v>
      </c>
      <c r="O8" s="19">
        <v>15.446200000000001</v>
      </c>
      <c r="P8" s="19">
        <v>25.8538</v>
      </c>
      <c r="Q8" s="20"/>
      <c r="R8" s="20"/>
    </row>
    <row r="9" spans="2:18" x14ac:dyDescent="0.3">
      <c r="B9" s="34" t="s">
        <v>27</v>
      </c>
      <c r="C9" s="13" t="s">
        <v>46</v>
      </c>
      <c r="D9" s="41">
        <v>9</v>
      </c>
      <c r="E9" s="41"/>
      <c r="F9" s="41">
        <v>431</v>
      </c>
      <c r="G9" s="41">
        <v>1210</v>
      </c>
      <c r="H9" s="41"/>
      <c r="I9" s="17"/>
      <c r="J9" s="17"/>
      <c r="K9" s="17">
        <v>17.455500000000001</v>
      </c>
      <c r="L9" s="17">
        <v>8.9216999999999995</v>
      </c>
      <c r="M9" s="17">
        <v>34.307600000000001</v>
      </c>
      <c r="N9" s="17">
        <v>15.472899999999999</v>
      </c>
      <c r="O9" s="17">
        <v>96.543999999999997</v>
      </c>
      <c r="P9" s="17">
        <v>103.009</v>
      </c>
      <c r="Q9" s="18"/>
      <c r="R9" s="18"/>
    </row>
    <row r="10" spans="2:18" x14ac:dyDescent="0.3">
      <c r="B10" s="33" t="s">
        <v>63</v>
      </c>
      <c r="C10" s="14" t="s">
        <v>19</v>
      </c>
      <c r="D10" s="42">
        <v>72</v>
      </c>
      <c r="E10" s="42"/>
      <c r="F10" s="42">
        <v>995</v>
      </c>
      <c r="G10" s="42">
        <v>820</v>
      </c>
      <c r="H10" s="42"/>
      <c r="I10" s="19">
        <v>5.3524000000000003</v>
      </c>
      <c r="J10" s="19"/>
      <c r="K10" s="19">
        <v>2.3976000000000002</v>
      </c>
      <c r="L10" s="19">
        <v>3.1</v>
      </c>
      <c r="M10" s="19">
        <v>3.3</v>
      </c>
      <c r="N10" s="19">
        <v>0.6</v>
      </c>
      <c r="O10" s="19">
        <v>12.3</v>
      </c>
      <c r="P10" s="19">
        <v>5.7</v>
      </c>
      <c r="Q10" s="20"/>
      <c r="R10" s="20"/>
    </row>
    <row r="11" spans="2:18" x14ac:dyDescent="0.3">
      <c r="B11" s="33"/>
      <c r="C11" s="14" t="s">
        <v>38</v>
      </c>
      <c r="D11" s="42">
        <v>72</v>
      </c>
      <c r="E11" s="42"/>
      <c r="F11" s="42">
        <v>1015.8333333333334</v>
      </c>
      <c r="G11" s="42">
        <v>600</v>
      </c>
      <c r="H11" s="42"/>
      <c r="I11" s="19">
        <v>10.013400000000001</v>
      </c>
      <c r="J11" s="19"/>
      <c r="K11" s="19">
        <v>4.1958000000000002</v>
      </c>
      <c r="L11" s="19">
        <v>5.7</v>
      </c>
      <c r="M11" s="19">
        <v>8.6</v>
      </c>
      <c r="N11" s="19">
        <v>1</v>
      </c>
      <c r="O11" s="19">
        <v>14.6</v>
      </c>
      <c r="P11" s="19">
        <v>8.6999999999999993</v>
      </c>
      <c r="Q11" s="20"/>
      <c r="R11" s="20"/>
    </row>
    <row r="12" spans="2:18" x14ac:dyDescent="0.3">
      <c r="B12" s="33"/>
      <c r="C12" s="14" t="s">
        <v>39</v>
      </c>
      <c r="D12" s="42">
        <v>72</v>
      </c>
      <c r="E12" s="42"/>
      <c r="F12" s="42">
        <v>968.33333333333337</v>
      </c>
      <c r="G12" s="42">
        <v>400</v>
      </c>
      <c r="H12" s="42"/>
      <c r="I12" s="19">
        <v>5.2577999999999996</v>
      </c>
      <c r="J12" s="19"/>
      <c r="K12" s="19">
        <v>4.6619999999999999</v>
      </c>
      <c r="L12" s="19">
        <v>4.5</v>
      </c>
      <c r="M12" s="19">
        <v>6.4</v>
      </c>
      <c r="N12" s="19">
        <v>2.1</v>
      </c>
      <c r="O12" s="19">
        <v>21.8</v>
      </c>
      <c r="P12" s="19">
        <v>27.8</v>
      </c>
      <c r="Q12" s="20"/>
      <c r="R12" s="20"/>
    </row>
    <row r="13" spans="2:18" x14ac:dyDescent="0.3">
      <c r="B13" s="34"/>
      <c r="C13" s="13" t="s">
        <v>40</v>
      </c>
      <c r="D13" s="41">
        <v>72</v>
      </c>
      <c r="E13" s="41"/>
      <c r="F13" s="41">
        <v>1120.6666666666667</v>
      </c>
      <c r="G13" s="41">
        <v>80</v>
      </c>
      <c r="H13" s="41"/>
      <c r="I13" s="17">
        <v>4.0258000000000003</v>
      </c>
      <c r="J13" s="17"/>
      <c r="K13" s="17">
        <v>5.2947000000000006</v>
      </c>
      <c r="L13" s="17">
        <v>4.2</v>
      </c>
      <c r="M13" s="17">
        <v>7.5</v>
      </c>
      <c r="N13" s="17">
        <v>4.0999999999999996</v>
      </c>
      <c r="O13" s="17">
        <v>46.1</v>
      </c>
      <c r="P13" s="17">
        <v>80.599999999999994</v>
      </c>
      <c r="Q13" s="18"/>
      <c r="R13" s="18"/>
    </row>
    <row r="14" spans="2:18" x14ac:dyDescent="0.3">
      <c r="B14" s="31" t="s">
        <v>25</v>
      </c>
      <c r="C14" s="16" t="s">
        <v>14</v>
      </c>
      <c r="D14" s="43">
        <v>48</v>
      </c>
      <c r="E14" s="43"/>
      <c r="F14" s="43">
        <v>946</v>
      </c>
      <c r="G14" s="43">
        <v>1130</v>
      </c>
      <c r="H14" s="43"/>
      <c r="I14" s="21"/>
      <c r="J14" s="21"/>
      <c r="K14" s="21">
        <v>4.0007285999999995</v>
      </c>
      <c r="L14" s="21">
        <v>2.6488000000000005</v>
      </c>
      <c r="M14" s="21">
        <v>11.068199999999999</v>
      </c>
      <c r="N14" s="21">
        <v>3.1217999999999999</v>
      </c>
      <c r="O14" s="21">
        <v>3.4056000000000002</v>
      </c>
      <c r="P14" s="21">
        <v>8.7032000000000007</v>
      </c>
      <c r="Q14" s="22"/>
      <c r="R14" s="22"/>
    </row>
    <row r="15" spans="2:18" x14ac:dyDescent="0.3">
      <c r="B15" s="15" t="s">
        <v>62</v>
      </c>
      <c r="C15" s="16" t="s">
        <v>10</v>
      </c>
      <c r="D15" s="43">
        <v>48</v>
      </c>
      <c r="E15" s="43"/>
      <c r="F15" s="43">
        <v>813</v>
      </c>
      <c r="G15" s="43">
        <v>1200</v>
      </c>
      <c r="H15" s="43"/>
      <c r="I15" s="21"/>
      <c r="J15" s="21"/>
      <c r="K15" s="21">
        <v>21.385151999999998</v>
      </c>
      <c r="L15" s="21">
        <v>5.674739999999999</v>
      </c>
      <c r="M15" s="21">
        <v>19.479479999999999</v>
      </c>
      <c r="N15" s="21">
        <v>15.647811000000001</v>
      </c>
      <c r="O15" s="21">
        <v>4.8779999999999992</v>
      </c>
      <c r="P15" s="21">
        <v>23.495700000000003</v>
      </c>
      <c r="Q15" s="22"/>
      <c r="R15" s="22"/>
    </row>
    <row r="16" spans="2:18" x14ac:dyDescent="0.3">
      <c r="B16" s="15" t="s">
        <v>60</v>
      </c>
      <c r="C16" s="15" t="s">
        <v>57</v>
      </c>
      <c r="D16" s="27">
        <f>8*12</f>
        <v>96</v>
      </c>
      <c r="E16" s="27"/>
      <c r="F16" s="27">
        <v>1124.925</v>
      </c>
      <c r="G16" s="27">
        <v>880</v>
      </c>
      <c r="H16" s="27"/>
      <c r="I16" s="27">
        <v>13.9</v>
      </c>
      <c r="J16" s="15"/>
      <c r="K16" s="15"/>
      <c r="L16" s="15"/>
      <c r="M16" s="12"/>
      <c r="N16" s="15"/>
      <c r="O16" s="15"/>
      <c r="P16" s="15"/>
      <c r="Q16" s="15"/>
      <c r="R16" s="15"/>
    </row>
    <row r="17" spans="2:18" x14ac:dyDescent="0.3">
      <c r="B17" s="36" t="s">
        <v>47</v>
      </c>
      <c r="C17" s="13" t="s">
        <v>48</v>
      </c>
      <c r="D17" s="41">
        <v>8</v>
      </c>
      <c r="E17" s="41"/>
      <c r="F17" s="41">
        <v>1082</v>
      </c>
      <c r="G17" s="41">
        <v>600</v>
      </c>
      <c r="H17" s="41"/>
      <c r="I17" s="17">
        <v>7.56</v>
      </c>
      <c r="J17" s="17">
        <v>0.17004</v>
      </c>
      <c r="K17" s="17"/>
      <c r="L17" s="17">
        <v>12.659399999999998</v>
      </c>
      <c r="M17" s="17">
        <v>43.28</v>
      </c>
      <c r="N17" s="17">
        <v>17.095600000000001</v>
      </c>
      <c r="O17" s="17">
        <v>34.840400000000002</v>
      </c>
      <c r="P17" s="17">
        <v>57.562400000000004</v>
      </c>
      <c r="Q17" s="18"/>
      <c r="R17" s="18"/>
    </row>
    <row r="18" spans="2:18" x14ac:dyDescent="0.3">
      <c r="B18" s="32" t="s">
        <v>61</v>
      </c>
      <c r="C18" s="37" t="s">
        <v>14</v>
      </c>
      <c r="D18" s="44">
        <v>12</v>
      </c>
      <c r="E18" s="44"/>
      <c r="F18" s="44">
        <v>873</v>
      </c>
      <c r="G18" s="44">
        <v>1130</v>
      </c>
      <c r="H18" s="44"/>
      <c r="I18" s="38"/>
      <c r="J18" s="38"/>
      <c r="K18" s="38">
        <v>8.0024999999999995</v>
      </c>
      <c r="L18" s="38">
        <v>7.0363800000000003</v>
      </c>
      <c r="M18" s="38">
        <v>33.610500000000002</v>
      </c>
      <c r="N18" s="38"/>
      <c r="O18" s="38"/>
      <c r="P18" s="38"/>
      <c r="Q18" s="39">
        <v>2.1825000000000001E-2</v>
      </c>
      <c r="R18" s="39">
        <v>2.4356699999999998E-2</v>
      </c>
    </row>
    <row r="19" spans="2:18" x14ac:dyDescent="0.3">
      <c r="B19" s="33"/>
      <c r="C19" s="14"/>
      <c r="D19" s="42">
        <v>12</v>
      </c>
      <c r="E19" s="42"/>
      <c r="F19" s="42">
        <v>903</v>
      </c>
      <c r="G19" s="42">
        <v>1130</v>
      </c>
      <c r="H19" s="42"/>
      <c r="I19" s="19"/>
      <c r="J19" s="19"/>
      <c r="K19" s="19">
        <v>9.598889999999999</v>
      </c>
      <c r="L19" s="19">
        <v>5.6437499999999998</v>
      </c>
      <c r="M19" s="19">
        <v>31.677240000000001</v>
      </c>
      <c r="N19" s="19"/>
      <c r="O19" s="19"/>
      <c r="P19" s="19"/>
      <c r="Q19" s="20">
        <v>3.5216999999999998E-2</v>
      </c>
      <c r="R19" s="20">
        <v>3.9370800000000004E-2</v>
      </c>
    </row>
    <row r="20" spans="2:18" x14ac:dyDescent="0.3">
      <c r="B20" s="34"/>
      <c r="C20" s="13"/>
      <c r="D20" s="41">
        <v>12</v>
      </c>
      <c r="E20" s="41"/>
      <c r="F20" s="41">
        <v>657</v>
      </c>
      <c r="G20" s="41">
        <v>1130</v>
      </c>
      <c r="H20" s="41"/>
      <c r="I20" s="17"/>
      <c r="J20" s="17"/>
      <c r="K20" s="17">
        <v>4.7435399999999994</v>
      </c>
      <c r="L20" s="17">
        <v>4.2573600000000003</v>
      </c>
      <c r="M20" s="17">
        <v>18.855900000000002</v>
      </c>
      <c r="N20" s="17"/>
      <c r="O20" s="17"/>
      <c r="P20" s="17"/>
      <c r="Q20" s="18">
        <v>3.3966900000000001E-2</v>
      </c>
      <c r="R20" s="18">
        <v>2.80539E-2</v>
      </c>
    </row>
    <row r="21" spans="2:18" x14ac:dyDescent="0.3">
      <c r="B21" s="15" t="s">
        <v>59</v>
      </c>
      <c r="C21" s="16" t="s">
        <v>17</v>
      </c>
      <c r="D21" s="43">
        <f>4*12</f>
        <v>48</v>
      </c>
      <c r="E21" s="43"/>
      <c r="F21" s="43">
        <v>755</v>
      </c>
      <c r="G21" s="43">
        <v>1700</v>
      </c>
      <c r="H21" s="43"/>
      <c r="I21" s="21">
        <v>0.56495593</v>
      </c>
      <c r="J21" s="21"/>
      <c r="K21" s="21">
        <v>1.6919223840000002</v>
      </c>
      <c r="L21" s="21">
        <v>1.3099249999999998</v>
      </c>
      <c r="M21" s="21">
        <v>6.7436600000000002</v>
      </c>
      <c r="N21" s="21">
        <v>0.16760999999999998</v>
      </c>
      <c r="O21" s="21">
        <v>0.79010749999999996</v>
      </c>
      <c r="P21" s="21">
        <v>6.5685000000000002</v>
      </c>
      <c r="Q21" s="22">
        <v>1.7742500000000001E-2</v>
      </c>
      <c r="R21" s="22">
        <v>8.1313499999999997E-2</v>
      </c>
    </row>
    <row r="22" spans="2:18" x14ac:dyDescent="0.3">
      <c r="B22" s="24" t="s">
        <v>23</v>
      </c>
      <c r="C22" s="24"/>
      <c r="D22" s="45"/>
      <c r="E22" s="45"/>
      <c r="F22" s="45"/>
      <c r="G22" s="45"/>
      <c r="H22" s="45"/>
      <c r="I22" s="25">
        <f>+AVERAGE(I4:I21)</f>
        <v>6.6677651328571432</v>
      </c>
      <c r="J22" s="26">
        <f t="shared" ref="J22:R22" si="0">+AVERAGE(J4:J20)</f>
        <v>0.17004</v>
      </c>
      <c r="K22" s="25">
        <f t="shared" si="0"/>
        <v>9.3721682400000024</v>
      </c>
      <c r="L22" s="25">
        <f t="shared" si="0"/>
        <v>7.8545581249999987</v>
      </c>
      <c r="M22" s="25">
        <f t="shared" si="0"/>
        <v>19.678845000000003</v>
      </c>
      <c r="N22" s="25">
        <f t="shared" si="0"/>
        <v>8.0224393076923075</v>
      </c>
      <c r="O22" s="25">
        <f t="shared" si="0"/>
        <v>22.234985384615381</v>
      </c>
      <c r="P22" s="25">
        <f t="shared" si="0"/>
        <v>33.017346153846155</v>
      </c>
      <c r="Q22" s="48">
        <f t="shared" si="0"/>
        <v>3.03363E-2</v>
      </c>
      <c r="R22" s="48">
        <f t="shared" si="0"/>
        <v>3.0593800000000004E-2</v>
      </c>
    </row>
    <row r="23" spans="2:18" x14ac:dyDescent="0.3">
      <c r="B23" s="28"/>
      <c r="C23" s="28"/>
      <c r="D23" s="28"/>
      <c r="E23" s="28"/>
      <c r="F23" s="28"/>
      <c r="G23" s="28"/>
      <c r="H23" s="28"/>
      <c r="I23" s="29">
        <f t="shared" ref="I23:R23" si="1">+STDEV(I4:I21)</f>
        <v>4.3250630811242523</v>
      </c>
      <c r="J23" s="29"/>
      <c r="K23" s="29">
        <f t="shared" si="1"/>
        <v>5.7204341173872857</v>
      </c>
      <c r="L23" s="29">
        <f t="shared" si="1"/>
        <v>5.0453115167495106</v>
      </c>
      <c r="M23" s="29">
        <f t="shared" si="1"/>
        <v>13.610120289292189</v>
      </c>
      <c r="N23" s="29">
        <f t="shared" si="1"/>
        <v>5.9729833525599689</v>
      </c>
      <c r="O23" s="29">
        <f t="shared" si="1"/>
        <v>25.20057486201253</v>
      </c>
      <c r="P23" s="29">
        <f t="shared" si="1"/>
        <v>29.529616517677617</v>
      </c>
      <c r="Q23" s="30">
        <f t="shared" si="1"/>
        <v>8.7253952225672827E-3</v>
      </c>
      <c r="R23" s="30">
        <f t="shared" si="1"/>
        <v>2.6151827300640005E-2</v>
      </c>
    </row>
  </sheetData>
  <sortState xmlns:xlrd2="http://schemas.microsoft.com/office/spreadsheetml/2017/richdata2" ref="B4:R21">
    <sortCondition ref="B4"/>
  </sortState>
  <mergeCells count="1">
    <mergeCell ref="I2:R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B98B-3405-4DB9-BA33-3AC01079C918}">
  <dimension ref="B1:K28"/>
  <sheetViews>
    <sheetView topLeftCell="A16" workbookViewId="0">
      <selection activeCell="D31" sqref="D31"/>
    </sheetView>
  </sheetViews>
  <sheetFormatPr baseColWidth="10" defaultRowHeight="14.4" x14ac:dyDescent="0.3"/>
  <cols>
    <col min="6" max="6" width="17.77734375" customWidth="1"/>
  </cols>
  <sheetData>
    <row r="1" spans="2:11" x14ac:dyDescent="0.3">
      <c r="C1" t="s">
        <v>75</v>
      </c>
    </row>
    <row r="2" spans="2:11" x14ac:dyDescent="0.3">
      <c r="B2" s="2" t="s">
        <v>0</v>
      </c>
      <c r="C2" s="2"/>
      <c r="D2" s="2" t="s">
        <v>81</v>
      </c>
      <c r="E2" s="2" t="s">
        <v>79</v>
      </c>
      <c r="F2" s="2" t="s">
        <v>80</v>
      </c>
      <c r="G2" s="2"/>
      <c r="H2" s="2"/>
      <c r="I2" s="2"/>
      <c r="J2" s="2"/>
      <c r="K2" s="2"/>
    </row>
    <row r="3" spans="2:11" x14ac:dyDescent="0.3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2:11" x14ac:dyDescent="0.3">
      <c r="B4" s="2" t="s">
        <v>3</v>
      </c>
      <c r="C4" s="2"/>
      <c r="D4" s="2"/>
      <c r="E4" s="2" t="s">
        <v>76</v>
      </c>
      <c r="F4" s="2"/>
      <c r="G4" s="2"/>
      <c r="H4" s="2"/>
      <c r="I4" s="2"/>
      <c r="J4" s="2"/>
      <c r="K4" s="2"/>
    </row>
    <row r="5" spans="2:11" x14ac:dyDescent="0.3">
      <c r="B5" s="2" t="s">
        <v>2</v>
      </c>
      <c r="C5" s="2"/>
      <c r="D5" s="2"/>
      <c r="E5" s="2"/>
      <c r="F5" s="2"/>
      <c r="G5" s="2"/>
      <c r="H5" s="2"/>
      <c r="I5" s="2"/>
      <c r="J5" s="2"/>
      <c r="K5" s="2"/>
    </row>
    <row r="6" spans="2:11" x14ac:dyDescent="0.3">
      <c r="B6" s="2" t="s">
        <v>4</v>
      </c>
      <c r="C6" s="2"/>
      <c r="D6" s="2"/>
      <c r="E6" s="2"/>
      <c r="F6" s="2"/>
      <c r="G6" s="2"/>
      <c r="H6" s="2"/>
      <c r="I6" s="2"/>
      <c r="J6" s="2"/>
      <c r="K6" s="2"/>
    </row>
    <row r="7" spans="2:11" x14ac:dyDescent="0.3">
      <c r="B7" s="2" t="s">
        <v>5</v>
      </c>
      <c r="C7" s="2"/>
      <c r="D7" s="2"/>
      <c r="E7" s="2"/>
      <c r="F7" s="2"/>
      <c r="G7" s="2"/>
      <c r="H7" s="2"/>
      <c r="I7" s="2"/>
      <c r="J7" s="2"/>
      <c r="K7" s="2"/>
    </row>
    <row r="8" spans="2:11" x14ac:dyDescent="0.3">
      <c r="B8" s="2" t="s">
        <v>33</v>
      </c>
      <c r="C8" s="2"/>
      <c r="D8" s="2"/>
      <c r="E8" s="2" t="s">
        <v>77</v>
      </c>
      <c r="F8" s="2" t="s">
        <v>78</v>
      </c>
      <c r="G8" s="2"/>
      <c r="H8" s="2"/>
      <c r="I8" s="2"/>
      <c r="J8" s="2"/>
      <c r="K8" s="2"/>
    </row>
    <row r="9" spans="2:11" x14ac:dyDescent="0.3">
      <c r="B9" s="2" t="s">
        <v>8</v>
      </c>
      <c r="C9" s="2"/>
      <c r="D9" s="2"/>
      <c r="E9" s="2" t="s">
        <v>72</v>
      </c>
      <c r="F9" s="2" t="s">
        <v>78</v>
      </c>
      <c r="G9" s="2"/>
      <c r="H9" s="2"/>
      <c r="I9" s="2"/>
      <c r="J9" s="2"/>
      <c r="K9" s="2"/>
    </row>
    <row r="10" spans="2:11" x14ac:dyDescent="0.3">
      <c r="B10" s="2" t="s">
        <v>6</v>
      </c>
      <c r="C10" s="2"/>
      <c r="D10" s="2"/>
      <c r="E10" s="2"/>
      <c r="F10" s="2"/>
      <c r="G10" s="2"/>
      <c r="H10" s="2"/>
      <c r="I10" s="2"/>
      <c r="J10" s="2"/>
      <c r="K10" s="2"/>
    </row>
    <row r="11" spans="2:11" x14ac:dyDescent="0.3">
      <c r="B11" s="2" t="s">
        <v>7</v>
      </c>
      <c r="C11" s="2"/>
      <c r="D11" s="2"/>
      <c r="E11" s="2"/>
      <c r="F11" s="2"/>
      <c r="G11" s="2"/>
      <c r="H11" s="2"/>
      <c r="I11" s="2"/>
      <c r="J11" s="2"/>
      <c r="K11" s="2"/>
    </row>
    <row r="17" spans="2:8" ht="28.8" x14ac:dyDescent="0.3">
      <c r="B17" s="47" t="s">
        <v>74</v>
      </c>
      <c r="C17" s="47" t="s">
        <v>97</v>
      </c>
      <c r="D17" s="47" t="s">
        <v>78</v>
      </c>
      <c r="E17" s="47" t="s">
        <v>89</v>
      </c>
      <c r="F17" s="47" t="s">
        <v>94</v>
      </c>
    </row>
    <row r="18" spans="2:8" ht="28.8" x14ac:dyDescent="0.3">
      <c r="B18" s="46" t="s">
        <v>0</v>
      </c>
      <c r="C18" s="46" t="s">
        <v>82</v>
      </c>
      <c r="D18" s="46" t="s">
        <v>78</v>
      </c>
      <c r="F18" s="46" t="s">
        <v>95</v>
      </c>
    </row>
    <row r="19" spans="2:8" x14ac:dyDescent="0.3">
      <c r="B19" t="s">
        <v>1</v>
      </c>
      <c r="C19" t="s">
        <v>83</v>
      </c>
      <c r="D19" t="s">
        <v>78</v>
      </c>
      <c r="F19" s="46" t="s">
        <v>95</v>
      </c>
    </row>
    <row r="20" spans="2:8" x14ac:dyDescent="0.3">
      <c r="B20" t="s">
        <v>3</v>
      </c>
      <c r="C20" t="s">
        <v>84</v>
      </c>
      <c r="D20" t="s">
        <v>78</v>
      </c>
      <c r="F20" s="46" t="s">
        <v>95</v>
      </c>
    </row>
    <row r="21" spans="2:8" x14ac:dyDescent="0.3">
      <c r="B21" t="s">
        <v>2</v>
      </c>
      <c r="C21" t="s">
        <v>85</v>
      </c>
      <c r="D21" t="s">
        <v>78</v>
      </c>
      <c r="F21" s="46" t="s">
        <v>96</v>
      </c>
    </row>
    <row r="22" spans="2:8" x14ac:dyDescent="0.3">
      <c r="B22" t="s">
        <v>4</v>
      </c>
      <c r="C22" t="s">
        <v>73</v>
      </c>
      <c r="D22" t="s">
        <v>78</v>
      </c>
      <c r="E22" t="s">
        <v>35</v>
      </c>
      <c r="F22" s="46" t="s">
        <v>96</v>
      </c>
    </row>
    <row r="23" spans="2:8" x14ac:dyDescent="0.3">
      <c r="B23" t="s">
        <v>5</v>
      </c>
      <c r="C23" t="s">
        <v>86</v>
      </c>
      <c r="D23" t="s">
        <v>78</v>
      </c>
      <c r="F23" s="46" t="s">
        <v>96</v>
      </c>
    </row>
    <row r="24" spans="2:8" x14ac:dyDescent="0.3">
      <c r="B24" t="s">
        <v>33</v>
      </c>
      <c r="C24" t="s">
        <v>87</v>
      </c>
      <c r="D24" t="s">
        <v>78</v>
      </c>
      <c r="F24" s="46" t="s">
        <v>95</v>
      </c>
    </row>
    <row r="25" spans="2:8" x14ac:dyDescent="0.3">
      <c r="B25" t="s">
        <v>8</v>
      </c>
      <c r="C25" t="s">
        <v>88</v>
      </c>
      <c r="D25" t="s">
        <v>78</v>
      </c>
      <c r="F25" s="46" t="s">
        <v>95</v>
      </c>
    </row>
    <row r="27" spans="2:8" x14ac:dyDescent="0.3">
      <c r="B27" t="s">
        <v>7</v>
      </c>
      <c r="D27" t="s">
        <v>90</v>
      </c>
      <c r="E27" t="s">
        <v>91</v>
      </c>
      <c r="H27" s="11" t="s">
        <v>92</v>
      </c>
    </row>
    <row r="28" spans="2:8" x14ac:dyDescent="0.3">
      <c r="B28" t="s">
        <v>6</v>
      </c>
      <c r="E28" t="s">
        <v>35</v>
      </c>
      <c r="H28" s="11" t="s">
        <v>93</v>
      </c>
    </row>
  </sheetData>
  <hyperlinks>
    <hyperlink ref="H27" r:id="rId1" xr:uid="{2B2D19DF-849C-406A-96D6-4CC458FD62AC}"/>
    <hyperlink ref="H28" r:id="rId2" xr:uid="{D1D5C05D-045F-49A6-956C-E99A887366D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Original data</vt:lpstr>
      <vt:lpstr>Ref</vt:lpstr>
      <vt:lpstr>Transformed data</vt:lpstr>
      <vt:lpstr>Forms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 Berhongaray</dc:creator>
  <cp:lastModifiedBy>Gonzalo Berhongaray</cp:lastModifiedBy>
  <dcterms:created xsi:type="dcterms:W3CDTF">2018-03-05T01:15:41Z</dcterms:created>
  <dcterms:modified xsi:type="dcterms:W3CDTF">2026-03-09T19:21:59Z</dcterms:modified>
</cp:coreProperties>
</file>